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61.24.116\TrJFAS\ACCEPTED PAPERS\23-12\Orjinal\231206-24773\"/>
    </mc:Choice>
  </mc:AlternateContent>
  <bookViews>
    <workbookView xWindow="0" yWindow="0" windowWidth="28800" windowHeight="11745"/>
  </bookViews>
  <sheets>
    <sheet name="Bibliometric" sheetId="1" r:id="rId1"/>
  </sheets>
  <definedNames>
    <definedName name="_xlnm._FilterDatabase" localSheetId="0" hidden="1">Bibliometric!$A$4:$BI$587</definedName>
  </definedNames>
  <calcPr calcId="162913"/>
  <customWorkbookViews>
    <customWorkbookView name="Filter 1" guid="{5D2E2C84-9C0E-4E1F-A7B6-6C66BF6CE225}"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I567" i="1" l="1"/>
  <c r="F567" i="1"/>
  <c r="BI566" i="1"/>
  <c r="F566" i="1"/>
  <c r="BI565" i="1"/>
  <c r="F565" i="1"/>
  <c r="BI564" i="1"/>
  <c r="F564" i="1"/>
  <c r="BI563" i="1"/>
  <c r="F563" i="1"/>
  <c r="BI562" i="1"/>
  <c r="F562" i="1"/>
  <c r="BI561" i="1"/>
  <c r="F561" i="1"/>
  <c r="BI560" i="1"/>
  <c r="F560" i="1"/>
  <c r="BI559" i="1"/>
  <c r="F559" i="1"/>
  <c r="BI558" i="1"/>
  <c r="F558" i="1"/>
  <c r="BI557" i="1"/>
  <c r="F557" i="1"/>
  <c r="BI556" i="1"/>
  <c r="F556" i="1"/>
  <c r="BI555" i="1"/>
  <c r="F555" i="1"/>
  <c r="BI554" i="1"/>
  <c r="F554" i="1"/>
  <c r="BI553" i="1"/>
  <c r="F553" i="1"/>
  <c r="BI552" i="1"/>
  <c r="F552" i="1"/>
  <c r="BI551" i="1"/>
  <c r="F551" i="1"/>
  <c r="BI550" i="1"/>
  <c r="F550" i="1"/>
  <c r="BI549" i="1"/>
  <c r="F549" i="1"/>
  <c r="BI548" i="1"/>
  <c r="F548" i="1"/>
  <c r="BI547" i="1"/>
  <c r="F547" i="1"/>
  <c r="BI546" i="1"/>
  <c r="F546" i="1"/>
  <c r="BI545" i="1"/>
  <c r="F545" i="1"/>
  <c r="BI544" i="1"/>
  <c r="F544" i="1"/>
  <c r="BI543" i="1"/>
  <c r="F543" i="1"/>
  <c r="BI542" i="1"/>
  <c r="F542" i="1"/>
  <c r="BI541" i="1"/>
  <c r="F541" i="1"/>
  <c r="BI540" i="1"/>
  <c r="F540" i="1"/>
  <c r="BI539" i="1"/>
  <c r="F539" i="1"/>
  <c r="BI538" i="1"/>
  <c r="F538" i="1"/>
  <c r="BI537" i="1"/>
  <c r="F537" i="1"/>
  <c r="BI536" i="1"/>
  <c r="F536" i="1"/>
  <c r="BI535" i="1"/>
  <c r="F535" i="1"/>
  <c r="BI534" i="1"/>
  <c r="F534" i="1"/>
  <c r="BI533" i="1"/>
  <c r="F533" i="1"/>
  <c r="BI532" i="1"/>
  <c r="F532" i="1"/>
  <c r="BI531" i="1"/>
  <c r="BI530" i="1"/>
  <c r="BI529" i="1"/>
  <c r="F529" i="1"/>
  <c r="BI528" i="1"/>
  <c r="F528" i="1"/>
  <c r="BI527" i="1"/>
  <c r="F527" i="1"/>
  <c r="BI526" i="1"/>
  <c r="F526" i="1"/>
  <c r="BI525" i="1"/>
  <c r="F525" i="1"/>
  <c r="BI524" i="1"/>
  <c r="F524" i="1"/>
  <c r="BI523" i="1"/>
  <c r="F523" i="1"/>
  <c r="BI522" i="1"/>
  <c r="F522" i="1"/>
  <c r="BI521" i="1"/>
  <c r="F521" i="1"/>
  <c r="BI520" i="1"/>
  <c r="F520" i="1"/>
  <c r="BI519" i="1"/>
  <c r="F519" i="1"/>
  <c r="BI518" i="1"/>
  <c r="F518" i="1"/>
  <c r="BI517" i="1"/>
  <c r="F517" i="1"/>
  <c r="BI516" i="1"/>
  <c r="F516" i="1"/>
  <c r="BI515" i="1"/>
  <c r="F515" i="1"/>
  <c r="BI514" i="1"/>
  <c r="F514" i="1"/>
  <c r="BI513" i="1"/>
  <c r="F513" i="1"/>
  <c r="BI512" i="1"/>
  <c r="F512" i="1"/>
  <c r="BI511" i="1"/>
  <c r="F511" i="1"/>
  <c r="BI510" i="1"/>
  <c r="F510" i="1"/>
  <c r="BI509" i="1"/>
  <c r="F509" i="1"/>
  <c r="BI508" i="1"/>
  <c r="F508" i="1"/>
  <c r="BI507" i="1"/>
  <c r="F507" i="1"/>
  <c r="BI506" i="1"/>
  <c r="F506" i="1"/>
  <c r="BI505" i="1"/>
  <c r="F505" i="1"/>
  <c r="BI504" i="1"/>
  <c r="F504" i="1"/>
  <c r="BI503" i="1"/>
  <c r="F503" i="1"/>
  <c r="BI502" i="1"/>
  <c r="F502" i="1"/>
  <c r="BI501" i="1"/>
  <c r="BI500" i="1"/>
  <c r="F500" i="1"/>
  <c r="BI499" i="1"/>
  <c r="BI498" i="1"/>
  <c r="F498" i="1"/>
  <c r="BI497" i="1"/>
  <c r="BI496" i="1"/>
  <c r="F496" i="1"/>
  <c r="BI495" i="1"/>
  <c r="F495" i="1"/>
  <c r="BI494" i="1"/>
  <c r="F494" i="1"/>
  <c r="BI493" i="1"/>
  <c r="F493" i="1"/>
  <c r="BI492" i="1"/>
  <c r="F492" i="1"/>
  <c r="BI491" i="1"/>
  <c r="F491" i="1"/>
  <c r="BI490" i="1"/>
  <c r="F490" i="1"/>
  <c r="BI489" i="1"/>
  <c r="F489" i="1"/>
  <c r="BI488" i="1"/>
  <c r="F488" i="1"/>
  <c r="BI487" i="1"/>
  <c r="F487" i="1"/>
  <c r="BI486" i="1"/>
  <c r="F486" i="1"/>
  <c r="BI485" i="1"/>
  <c r="F485" i="1"/>
  <c r="BI484" i="1"/>
  <c r="F484" i="1"/>
  <c r="BI483" i="1"/>
  <c r="F483" i="1"/>
  <c r="BI482" i="1"/>
  <c r="F482" i="1"/>
  <c r="BI481" i="1"/>
  <c r="F481" i="1"/>
  <c r="BI480" i="1"/>
  <c r="F480" i="1"/>
  <c r="BI479" i="1"/>
  <c r="F479" i="1"/>
  <c r="BI478" i="1"/>
  <c r="BI477" i="1"/>
  <c r="F477" i="1"/>
  <c r="BI476" i="1"/>
  <c r="F476" i="1"/>
  <c r="BI475" i="1"/>
  <c r="F475" i="1"/>
  <c r="BI474" i="1"/>
  <c r="F474" i="1"/>
  <c r="BI473" i="1"/>
  <c r="F473" i="1"/>
  <c r="BI472" i="1"/>
  <c r="F472" i="1"/>
  <c r="BI471" i="1"/>
  <c r="BI470" i="1"/>
  <c r="F470" i="1"/>
  <c r="BI469" i="1"/>
  <c r="F469" i="1"/>
  <c r="BI468" i="1"/>
  <c r="F468" i="1"/>
  <c r="BI467" i="1"/>
  <c r="F467" i="1"/>
  <c r="BI466" i="1"/>
  <c r="BI465" i="1"/>
  <c r="BI464" i="1"/>
  <c r="F464" i="1"/>
  <c r="BI463" i="1"/>
  <c r="BI462" i="1"/>
  <c r="BI461" i="1"/>
  <c r="BI460" i="1"/>
  <c r="F460" i="1"/>
  <c r="BI459" i="1"/>
  <c r="F459" i="1"/>
  <c r="BI458" i="1"/>
  <c r="F458" i="1"/>
  <c r="BI457" i="1"/>
  <c r="F457" i="1"/>
  <c r="BI456" i="1"/>
  <c r="F456" i="1"/>
  <c r="BI455" i="1"/>
  <c r="F455" i="1"/>
  <c r="BI454" i="1"/>
  <c r="BI453" i="1"/>
  <c r="F453" i="1"/>
  <c r="BI452" i="1"/>
  <c r="F452" i="1"/>
  <c r="BI451" i="1"/>
  <c r="F451" i="1"/>
  <c r="BI450" i="1"/>
  <c r="F450" i="1"/>
  <c r="BI449" i="1"/>
  <c r="F449" i="1"/>
  <c r="BI448" i="1"/>
  <c r="F448" i="1"/>
  <c r="BI447" i="1"/>
  <c r="F447" i="1"/>
  <c r="BI446" i="1"/>
  <c r="F446" i="1"/>
  <c r="BI445" i="1"/>
  <c r="F445" i="1"/>
  <c r="BI444" i="1"/>
  <c r="F444" i="1"/>
  <c r="BI443" i="1"/>
  <c r="F443" i="1"/>
  <c r="BI442" i="1"/>
  <c r="F442" i="1"/>
  <c r="BI441" i="1"/>
  <c r="BI440" i="1"/>
  <c r="F440" i="1"/>
  <c r="BI439" i="1"/>
  <c r="F439" i="1"/>
  <c r="BI438" i="1"/>
  <c r="BI437" i="1"/>
  <c r="BI436" i="1"/>
  <c r="F436" i="1"/>
  <c r="BI435" i="1"/>
  <c r="BI434" i="1"/>
  <c r="F434" i="1"/>
  <c r="BI433" i="1"/>
  <c r="BI432" i="1"/>
  <c r="F432" i="1"/>
  <c r="BI431" i="1"/>
  <c r="F431" i="1"/>
  <c r="BI430" i="1"/>
  <c r="F430" i="1"/>
  <c r="BI429" i="1"/>
  <c r="F429" i="1"/>
  <c r="BI428" i="1"/>
  <c r="F428" i="1"/>
  <c r="BI427" i="1"/>
  <c r="F427" i="1"/>
  <c r="BI426" i="1"/>
  <c r="F426" i="1"/>
  <c r="BI425" i="1"/>
  <c r="F425" i="1"/>
  <c r="BI424" i="1"/>
  <c r="F424" i="1"/>
  <c r="BI423" i="1"/>
  <c r="F423" i="1"/>
  <c r="BI422" i="1"/>
  <c r="F422" i="1"/>
  <c r="BI421" i="1"/>
  <c r="F421" i="1"/>
  <c r="BI420" i="1"/>
  <c r="F420" i="1"/>
  <c r="BI419" i="1"/>
  <c r="F419" i="1"/>
  <c r="BI418" i="1"/>
  <c r="F418" i="1"/>
  <c r="BI417" i="1"/>
  <c r="F417" i="1"/>
  <c r="BI416" i="1"/>
  <c r="F416" i="1"/>
  <c r="BI415" i="1"/>
  <c r="F415" i="1"/>
  <c r="BI414" i="1"/>
  <c r="F414" i="1"/>
  <c r="BI413" i="1"/>
  <c r="BI412" i="1"/>
  <c r="BI411" i="1"/>
  <c r="F411" i="1"/>
  <c r="BI410" i="1"/>
  <c r="F410" i="1"/>
  <c r="BI409" i="1"/>
  <c r="F409" i="1"/>
  <c r="BI408" i="1"/>
  <c r="F408" i="1"/>
  <c r="BI407" i="1"/>
  <c r="F407" i="1"/>
  <c r="BI406" i="1"/>
  <c r="F406" i="1"/>
  <c r="BI405" i="1"/>
  <c r="F405" i="1"/>
  <c r="BI404" i="1"/>
  <c r="F404" i="1"/>
  <c r="BI403" i="1"/>
  <c r="F403" i="1"/>
  <c r="BI402" i="1"/>
  <c r="BI401" i="1"/>
  <c r="F401" i="1"/>
  <c r="BI400" i="1"/>
  <c r="F400" i="1"/>
  <c r="BI399" i="1"/>
  <c r="F399" i="1"/>
  <c r="BI398" i="1"/>
  <c r="F398" i="1"/>
  <c r="BI397" i="1"/>
  <c r="BI396" i="1"/>
  <c r="F396" i="1"/>
  <c r="BI395" i="1"/>
  <c r="BI394" i="1"/>
  <c r="F394" i="1"/>
  <c r="BI393" i="1"/>
  <c r="F393" i="1"/>
  <c r="BI392" i="1"/>
  <c r="F392" i="1"/>
  <c r="BI391" i="1"/>
  <c r="F391" i="1"/>
  <c r="BI390" i="1"/>
  <c r="F390" i="1"/>
  <c r="BI389" i="1"/>
  <c r="F389" i="1"/>
  <c r="BI388" i="1"/>
  <c r="F388" i="1"/>
  <c r="BI387" i="1"/>
  <c r="F387" i="1"/>
  <c r="BI386" i="1"/>
  <c r="F386" i="1"/>
  <c r="BI385" i="1"/>
  <c r="F385" i="1"/>
  <c r="BI384" i="1"/>
  <c r="F384" i="1"/>
  <c r="BI383" i="1"/>
  <c r="F383" i="1"/>
  <c r="BI382" i="1"/>
  <c r="F382" i="1"/>
  <c r="BI381" i="1"/>
  <c r="BI380" i="1"/>
  <c r="BI379" i="1"/>
  <c r="F379" i="1"/>
  <c r="BI378" i="1"/>
  <c r="F378" i="1"/>
  <c r="BI377" i="1"/>
  <c r="BI376" i="1"/>
  <c r="F376" i="1"/>
  <c r="BI375" i="1"/>
  <c r="F375" i="1"/>
  <c r="BI374" i="1"/>
  <c r="F374" i="1"/>
  <c r="BI373" i="1"/>
  <c r="F373" i="1"/>
  <c r="BI372" i="1"/>
  <c r="F372" i="1"/>
  <c r="BI371" i="1"/>
  <c r="F371" i="1"/>
  <c r="BI370" i="1"/>
  <c r="F370" i="1"/>
  <c r="BI369" i="1"/>
  <c r="BI368" i="1"/>
  <c r="F368" i="1"/>
  <c r="BI367" i="1"/>
  <c r="F367" i="1"/>
  <c r="BI366" i="1"/>
  <c r="F366" i="1"/>
  <c r="BI365" i="1"/>
  <c r="F365" i="1"/>
  <c r="BI364" i="1"/>
  <c r="F364" i="1"/>
  <c r="BI363" i="1"/>
  <c r="F363" i="1"/>
  <c r="BI362" i="1"/>
  <c r="F362" i="1"/>
  <c r="BI361" i="1"/>
  <c r="F361" i="1"/>
  <c r="BI360" i="1"/>
  <c r="F360" i="1"/>
  <c r="BI359" i="1"/>
  <c r="F359" i="1"/>
  <c r="BI358" i="1"/>
  <c r="BI357" i="1"/>
  <c r="F357" i="1"/>
  <c r="BI356" i="1"/>
  <c r="F356" i="1"/>
  <c r="BI355" i="1"/>
  <c r="F355" i="1"/>
  <c r="BI354" i="1"/>
  <c r="F354" i="1"/>
  <c r="BI353" i="1"/>
  <c r="BI352" i="1"/>
  <c r="F352" i="1"/>
  <c r="BI351" i="1"/>
  <c r="F351" i="1"/>
  <c r="BI350" i="1"/>
  <c r="F350" i="1"/>
  <c r="BI349" i="1"/>
  <c r="BI348" i="1"/>
  <c r="F348" i="1"/>
  <c r="BI347" i="1"/>
  <c r="BI346" i="1"/>
  <c r="F346" i="1"/>
  <c r="BI345" i="1"/>
  <c r="F345" i="1"/>
  <c r="BI344" i="1"/>
  <c r="F344" i="1"/>
  <c r="BI343" i="1"/>
  <c r="BI342" i="1"/>
  <c r="F342" i="1"/>
  <c r="BI341" i="1"/>
  <c r="BI340" i="1"/>
  <c r="F340" i="1"/>
  <c r="BI339" i="1"/>
  <c r="F339" i="1"/>
  <c r="BI338" i="1"/>
  <c r="BI337" i="1"/>
  <c r="BI336" i="1"/>
  <c r="F336" i="1"/>
  <c r="BI335" i="1"/>
  <c r="F335" i="1"/>
  <c r="BI334" i="1"/>
  <c r="F334" i="1"/>
  <c r="BI333" i="1"/>
  <c r="F333" i="1"/>
  <c r="BI332" i="1"/>
  <c r="F332" i="1"/>
  <c r="BI331" i="1"/>
  <c r="F331" i="1"/>
  <c r="BI330" i="1"/>
  <c r="F330" i="1"/>
  <c r="BI329" i="1"/>
  <c r="F329" i="1"/>
  <c r="BI328" i="1"/>
  <c r="F328" i="1"/>
  <c r="BI327" i="1"/>
  <c r="F327" i="1"/>
  <c r="BI326" i="1"/>
  <c r="F326" i="1"/>
  <c r="BI325" i="1"/>
  <c r="F325" i="1"/>
  <c r="BI324" i="1"/>
  <c r="F324" i="1"/>
  <c r="BI323" i="1"/>
  <c r="F323" i="1"/>
  <c r="BI322" i="1"/>
  <c r="F322" i="1"/>
  <c r="BI321" i="1"/>
  <c r="F321" i="1"/>
  <c r="BI320" i="1"/>
  <c r="F320" i="1"/>
  <c r="BI319" i="1"/>
  <c r="F319" i="1"/>
  <c r="BI318" i="1"/>
  <c r="F318" i="1"/>
  <c r="BI317" i="1"/>
  <c r="F317" i="1"/>
  <c r="BI316" i="1"/>
  <c r="F316" i="1"/>
  <c r="BI315" i="1"/>
  <c r="F315" i="1"/>
  <c r="BI314" i="1"/>
  <c r="F314" i="1"/>
  <c r="BI313" i="1"/>
  <c r="F313" i="1"/>
  <c r="BI312" i="1"/>
  <c r="F312" i="1"/>
  <c r="BI311" i="1"/>
  <c r="F311" i="1"/>
  <c r="BI310" i="1"/>
  <c r="BI309" i="1"/>
  <c r="F309" i="1"/>
  <c r="BI308" i="1"/>
  <c r="F308" i="1"/>
  <c r="BI307" i="1"/>
  <c r="F307" i="1"/>
  <c r="BI306" i="1"/>
  <c r="F306" i="1"/>
  <c r="BI305" i="1"/>
  <c r="F305" i="1"/>
  <c r="BI304" i="1"/>
  <c r="BI303" i="1"/>
  <c r="F303" i="1"/>
  <c r="BI302" i="1"/>
  <c r="F302" i="1"/>
  <c r="BI301" i="1"/>
  <c r="F301" i="1"/>
  <c r="BI300" i="1"/>
  <c r="F300" i="1"/>
  <c r="BI299" i="1"/>
  <c r="F299" i="1"/>
  <c r="BI298" i="1"/>
  <c r="F298" i="1"/>
  <c r="BI297" i="1"/>
  <c r="F297" i="1"/>
  <c r="BI296" i="1"/>
  <c r="F296" i="1"/>
  <c r="BI295" i="1"/>
  <c r="F295" i="1"/>
  <c r="BI294" i="1"/>
  <c r="BI293" i="1"/>
  <c r="F293" i="1"/>
  <c r="BI292" i="1"/>
  <c r="F292" i="1"/>
  <c r="BI291" i="1"/>
  <c r="BI290" i="1"/>
  <c r="F290" i="1"/>
  <c r="BI289" i="1"/>
  <c r="F289" i="1"/>
  <c r="BI288" i="1"/>
  <c r="F288" i="1"/>
  <c r="BI287" i="1"/>
  <c r="F287" i="1"/>
  <c r="BI286" i="1"/>
  <c r="BI285" i="1"/>
  <c r="F285" i="1"/>
  <c r="BI284" i="1"/>
  <c r="F284" i="1"/>
  <c r="BI283" i="1"/>
  <c r="F283" i="1"/>
  <c r="BI282" i="1"/>
  <c r="F282" i="1"/>
  <c r="BI281" i="1"/>
  <c r="F281" i="1"/>
  <c r="BI280" i="1"/>
  <c r="F280" i="1"/>
  <c r="BI279" i="1"/>
  <c r="F279" i="1"/>
  <c r="BI278" i="1"/>
  <c r="F278" i="1"/>
  <c r="BI277" i="1"/>
  <c r="F277" i="1"/>
  <c r="BI276" i="1"/>
  <c r="F276" i="1"/>
  <c r="BI275" i="1"/>
  <c r="F275" i="1"/>
  <c r="BI274" i="1"/>
  <c r="F274" i="1"/>
  <c r="BI273" i="1"/>
  <c r="BI272" i="1"/>
  <c r="F272" i="1"/>
  <c r="BI271" i="1"/>
  <c r="F271" i="1"/>
  <c r="BI270" i="1"/>
  <c r="F270" i="1"/>
  <c r="BI269" i="1"/>
  <c r="BI268" i="1"/>
  <c r="F268" i="1"/>
  <c r="BI267" i="1"/>
  <c r="F267" i="1"/>
  <c r="BI266" i="1"/>
  <c r="F266" i="1"/>
  <c r="BI265" i="1"/>
  <c r="F265" i="1"/>
  <c r="BI264" i="1"/>
  <c r="F264" i="1"/>
  <c r="BI263" i="1"/>
  <c r="F263" i="1"/>
  <c r="BI262" i="1"/>
  <c r="BI261" i="1"/>
  <c r="F261" i="1"/>
  <c r="BI260" i="1"/>
  <c r="F260" i="1"/>
  <c r="BI259" i="1"/>
  <c r="F259" i="1"/>
  <c r="BI258" i="1"/>
  <c r="F258" i="1"/>
  <c r="BI257" i="1"/>
  <c r="BI256" i="1"/>
  <c r="F256" i="1"/>
  <c r="BI255" i="1"/>
  <c r="F255" i="1"/>
  <c r="BI254" i="1"/>
  <c r="F254" i="1"/>
  <c r="BI253" i="1"/>
  <c r="F253" i="1"/>
  <c r="BI252" i="1"/>
  <c r="F252" i="1"/>
  <c r="BI251" i="1"/>
  <c r="BI250" i="1"/>
  <c r="F250" i="1"/>
  <c r="BI249" i="1"/>
  <c r="F249" i="1"/>
  <c r="BI248" i="1"/>
  <c r="F248" i="1"/>
  <c r="BI247" i="1"/>
  <c r="BI246" i="1"/>
  <c r="F246" i="1"/>
  <c r="BI245" i="1"/>
  <c r="F245" i="1"/>
  <c r="BI244" i="1"/>
  <c r="F244" i="1"/>
  <c r="BI243" i="1"/>
  <c r="F243" i="1"/>
  <c r="BI242" i="1"/>
  <c r="F242" i="1"/>
  <c r="BI241" i="1"/>
  <c r="BI240" i="1"/>
  <c r="F240" i="1"/>
  <c r="BI239" i="1"/>
  <c r="BI238" i="1"/>
  <c r="F238" i="1"/>
  <c r="BI237" i="1"/>
  <c r="BI236" i="1"/>
  <c r="F236" i="1"/>
  <c r="BI235" i="1"/>
  <c r="F235" i="1"/>
  <c r="BI234" i="1"/>
  <c r="F234" i="1"/>
  <c r="BI233" i="1"/>
  <c r="F233" i="1"/>
  <c r="BI232" i="1"/>
  <c r="F232" i="1"/>
  <c r="BI231" i="1"/>
  <c r="F231" i="1"/>
  <c r="BI230" i="1"/>
  <c r="F230" i="1"/>
  <c r="BI229" i="1"/>
  <c r="F229" i="1"/>
  <c r="BI228" i="1"/>
  <c r="F228" i="1"/>
  <c r="BI227" i="1"/>
  <c r="F227" i="1"/>
  <c r="BI226" i="1"/>
  <c r="F226" i="1"/>
  <c r="BI225" i="1"/>
  <c r="F225" i="1"/>
  <c r="BI224" i="1"/>
  <c r="F224" i="1"/>
  <c r="BI223" i="1"/>
  <c r="F223" i="1"/>
  <c r="BI222" i="1"/>
  <c r="F222" i="1"/>
  <c r="BI221" i="1"/>
  <c r="F221" i="1"/>
  <c r="BI220" i="1"/>
  <c r="F220" i="1"/>
  <c r="BI219" i="1"/>
  <c r="F219" i="1"/>
  <c r="BI218" i="1"/>
  <c r="F218" i="1"/>
  <c r="BI217" i="1"/>
  <c r="F217" i="1"/>
  <c r="BI216" i="1"/>
  <c r="F216" i="1"/>
  <c r="BI215" i="1"/>
  <c r="BI214" i="1"/>
  <c r="BI213" i="1"/>
  <c r="BI212" i="1"/>
  <c r="F212" i="1"/>
  <c r="BI211" i="1"/>
  <c r="F211" i="1"/>
  <c r="BI210" i="1"/>
  <c r="F210" i="1"/>
  <c r="BI209" i="1"/>
  <c r="F209" i="1"/>
  <c r="BI208" i="1"/>
  <c r="BI207" i="1"/>
  <c r="F207" i="1"/>
  <c r="BI206" i="1"/>
  <c r="F206" i="1"/>
  <c r="BI205" i="1"/>
  <c r="F205" i="1"/>
  <c r="BI204" i="1"/>
  <c r="F204" i="1"/>
  <c r="BI203" i="1"/>
  <c r="F203" i="1"/>
  <c r="BI202" i="1"/>
  <c r="F202" i="1"/>
  <c r="BI201" i="1"/>
  <c r="F201" i="1"/>
  <c r="BI200" i="1"/>
  <c r="BI199" i="1"/>
  <c r="F199" i="1"/>
  <c r="BI198" i="1"/>
  <c r="F198" i="1"/>
  <c r="BI197" i="1"/>
  <c r="F197" i="1"/>
  <c r="BI196" i="1"/>
  <c r="F196" i="1"/>
  <c r="BI195" i="1"/>
  <c r="F195" i="1"/>
  <c r="BI194" i="1"/>
  <c r="F194" i="1"/>
  <c r="BI193" i="1"/>
  <c r="F193" i="1"/>
  <c r="BI192" i="1"/>
  <c r="F192" i="1"/>
  <c r="BI191" i="1"/>
  <c r="F191" i="1"/>
  <c r="BI190" i="1"/>
  <c r="BI189" i="1"/>
  <c r="F189" i="1"/>
  <c r="BI188" i="1"/>
  <c r="F188" i="1"/>
  <c r="BI187" i="1"/>
  <c r="F187" i="1"/>
  <c r="BI186" i="1"/>
  <c r="F186" i="1"/>
  <c r="BI185" i="1"/>
  <c r="F185" i="1"/>
  <c r="BI184" i="1"/>
  <c r="F184" i="1"/>
  <c r="BI183" i="1"/>
  <c r="F183" i="1"/>
  <c r="BI182" i="1"/>
  <c r="F182" i="1"/>
  <c r="BI181" i="1"/>
  <c r="F181" i="1"/>
  <c r="BI180" i="1"/>
  <c r="F180" i="1"/>
  <c r="BI179" i="1"/>
  <c r="F179" i="1"/>
  <c r="BI178" i="1"/>
  <c r="BI177" i="1"/>
  <c r="F177" i="1"/>
  <c r="BI176" i="1"/>
  <c r="BI175" i="1"/>
  <c r="F175" i="1"/>
  <c r="BI174" i="1"/>
  <c r="F174" i="1"/>
  <c r="BI173" i="1"/>
  <c r="F173" i="1"/>
  <c r="BI172" i="1"/>
  <c r="F172" i="1"/>
  <c r="BI171" i="1"/>
  <c r="BI170" i="1"/>
  <c r="F170" i="1"/>
  <c r="BI169" i="1"/>
  <c r="F169" i="1"/>
  <c r="BI168" i="1"/>
  <c r="BI167" i="1"/>
  <c r="F167" i="1"/>
  <c r="BI166" i="1"/>
  <c r="F166" i="1"/>
  <c r="BI165" i="1"/>
  <c r="F165" i="1"/>
  <c r="BI164" i="1"/>
  <c r="F164" i="1"/>
  <c r="BI163" i="1"/>
  <c r="F163" i="1"/>
  <c r="BI162" i="1"/>
  <c r="F162" i="1"/>
  <c r="BI161" i="1"/>
  <c r="F161" i="1"/>
  <c r="BI160" i="1"/>
  <c r="F160" i="1"/>
  <c r="BI159" i="1"/>
  <c r="F159" i="1"/>
  <c r="BI158" i="1"/>
  <c r="F158" i="1"/>
  <c r="BI157" i="1"/>
  <c r="F157" i="1"/>
  <c r="BI156" i="1"/>
  <c r="F156" i="1"/>
  <c r="BI155" i="1"/>
  <c r="F155" i="1"/>
  <c r="BI154" i="1"/>
  <c r="F154" i="1"/>
  <c r="BI153" i="1"/>
  <c r="F153" i="1"/>
  <c r="BI152" i="1"/>
  <c r="F152" i="1"/>
  <c r="BI151" i="1"/>
  <c r="F151" i="1"/>
  <c r="BI150" i="1"/>
  <c r="F150" i="1"/>
  <c r="BI149" i="1"/>
  <c r="F149" i="1"/>
  <c r="BI148" i="1"/>
  <c r="F148" i="1"/>
  <c r="BI147" i="1"/>
  <c r="F147" i="1"/>
  <c r="BI146" i="1"/>
  <c r="F146" i="1"/>
  <c r="BI145" i="1"/>
  <c r="F145" i="1"/>
  <c r="BI144" i="1"/>
  <c r="F144" i="1"/>
  <c r="BI143" i="1"/>
  <c r="F143" i="1"/>
  <c r="BI142" i="1"/>
  <c r="F142" i="1"/>
  <c r="BI141" i="1"/>
  <c r="F141" i="1"/>
  <c r="BI140" i="1"/>
  <c r="F140" i="1"/>
  <c r="BI139" i="1"/>
  <c r="F139" i="1"/>
  <c r="BI138" i="1"/>
  <c r="F138" i="1"/>
  <c r="BI137" i="1"/>
  <c r="F137" i="1"/>
  <c r="BI136" i="1"/>
  <c r="F136" i="1"/>
  <c r="BI135" i="1"/>
  <c r="F135" i="1"/>
  <c r="BI134" i="1"/>
  <c r="F134" i="1"/>
  <c r="BI133" i="1"/>
  <c r="F133" i="1"/>
  <c r="BI132" i="1"/>
  <c r="F132" i="1"/>
  <c r="BI131" i="1"/>
  <c r="F131" i="1"/>
  <c r="BI130" i="1"/>
  <c r="F130" i="1"/>
  <c r="BI129" i="1"/>
  <c r="F129" i="1"/>
  <c r="BI128" i="1"/>
  <c r="F128" i="1"/>
  <c r="BI127" i="1"/>
  <c r="F127" i="1"/>
  <c r="BI126" i="1"/>
  <c r="F126" i="1"/>
  <c r="BI125" i="1"/>
  <c r="F125" i="1"/>
  <c r="BI124" i="1"/>
  <c r="F124" i="1"/>
  <c r="BI123" i="1"/>
  <c r="F123" i="1"/>
  <c r="BI122" i="1"/>
  <c r="F122" i="1"/>
  <c r="BI121" i="1"/>
  <c r="F121" i="1"/>
  <c r="BI120" i="1"/>
  <c r="F120" i="1"/>
  <c r="BI119" i="1"/>
  <c r="F119" i="1"/>
  <c r="BI118" i="1"/>
  <c r="F118" i="1"/>
  <c r="BI117" i="1"/>
  <c r="F117" i="1"/>
  <c r="BI116" i="1"/>
  <c r="F116" i="1"/>
  <c r="BI115" i="1"/>
  <c r="BI114" i="1"/>
  <c r="F114" i="1"/>
  <c r="BI113" i="1"/>
  <c r="F113" i="1"/>
  <c r="BI112" i="1"/>
  <c r="F112" i="1"/>
  <c r="BI111" i="1"/>
  <c r="F111" i="1"/>
  <c r="BI110" i="1"/>
  <c r="BI109" i="1"/>
  <c r="F109" i="1"/>
  <c r="BI108" i="1"/>
  <c r="F108" i="1"/>
  <c r="BI107" i="1"/>
  <c r="F107" i="1"/>
  <c r="BI106" i="1"/>
  <c r="BI105" i="1"/>
  <c r="F105" i="1"/>
  <c r="BI104" i="1"/>
  <c r="F104" i="1"/>
  <c r="BI103" i="1"/>
  <c r="F103" i="1"/>
  <c r="BI102" i="1"/>
  <c r="F102" i="1"/>
  <c r="BI101" i="1"/>
  <c r="F101" i="1"/>
  <c r="BI100" i="1"/>
  <c r="F100" i="1"/>
  <c r="BI99" i="1"/>
  <c r="BI98" i="1"/>
  <c r="F98" i="1"/>
  <c r="BI97" i="1"/>
  <c r="F97" i="1"/>
  <c r="BI96" i="1"/>
  <c r="F96" i="1"/>
  <c r="BI95" i="1"/>
  <c r="F95" i="1"/>
  <c r="BI94" i="1"/>
  <c r="F94" i="1"/>
  <c r="BI93" i="1"/>
  <c r="F93" i="1"/>
  <c r="BI92" i="1"/>
  <c r="F92" i="1"/>
  <c r="BI91" i="1"/>
  <c r="F91" i="1"/>
  <c r="BI90" i="1"/>
  <c r="F90" i="1"/>
  <c r="BI89" i="1"/>
  <c r="F89" i="1"/>
  <c r="BI88" i="1"/>
  <c r="F88" i="1"/>
  <c r="BI87" i="1"/>
  <c r="F87" i="1"/>
  <c r="BI86" i="1"/>
  <c r="F86" i="1"/>
  <c r="BI85" i="1"/>
  <c r="F85" i="1"/>
  <c r="BI84" i="1"/>
  <c r="F84" i="1"/>
  <c r="BI83" i="1"/>
  <c r="F83" i="1"/>
  <c r="BI82" i="1"/>
  <c r="F82" i="1"/>
  <c r="BI81" i="1"/>
  <c r="F81" i="1"/>
  <c r="BI80" i="1"/>
  <c r="F80" i="1"/>
  <c r="BI79" i="1"/>
  <c r="F79" i="1"/>
  <c r="BI78" i="1"/>
  <c r="F78" i="1"/>
  <c r="BI77" i="1"/>
  <c r="F77" i="1"/>
  <c r="BI76" i="1"/>
  <c r="F76" i="1"/>
  <c r="BI75" i="1"/>
  <c r="F75" i="1"/>
  <c r="BI74" i="1"/>
  <c r="F74" i="1"/>
  <c r="BI73" i="1"/>
  <c r="F73" i="1"/>
  <c r="BI72" i="1"/>
  <c r="F72" i="1"/>
  <c r="BI71" i="1"/>
  <c r="F71" i="1"/>
  <c r="BI70" i="1"/>
  <c r="F70" i="1"/>
  <c r="BI69" i="1"/>
  <c r="F69" i="1"/>
  <c r="BI68" i="1"/>
  <c r="F68" i="1"/>
  <c r="BI67" i="1"/>
  <c r="F67" i="1"/>
  <c r="BI66" i="1"/>
  <c r="F66" i="1"/>
  <c r="BI65" i="1"/>
  <c r="F65" i="1"/>
  <c r="BI64" i="1"/>
  <c r="F64" i="1"/>
  <c r="BI63" i="1"/>
  <c r="F63" i="1"/>
  <c r="BI62" i="1"/>
  <c r="F62" i="1"/>
  <c r="BI61" i="1"/>
  <c r="F61" i="1"/>
  <c r="BI60" i="1"/>
  <c r="BI59" i="1"/>
  <c r="F59" i="1"/>
  <c r="BI58" i="1"/>
  <c r="F58" i="1"/>
  <c r="BI57" i="1"/>
  <c r="F57" i="1"/>
  <c r="BI56" i="1"/>
  <c r="F56" i="1"/>
  <c r="BI55" i="1"/>
  <c r="F55" i="1"/>
  <c r="BI54" i="1"/>
  <c r="F54" i="1"/>
  <c r="BI53" i="1"/>
  <c r="F53" i="1"/>
  <c r="BI52" i="1"/>
  <c r="F52" i="1"/>
  <c r="BI51" i="1"/>
  <c r="F51" i="1"/>
  <c r="BI50" i="1"/>
  <c r="F50" i="1"/>
  <c r="BI49" i="1"/>
  <c r="F49" i="1"/>
  <c r="BI48" i="1"/>
  <c r="F48" i="1"/>
  <c r="BI47" i="1"/>
  <c r="F47" i="1"/>
  <c r="BI46" i="1"/>
  <c r="F46" i="1"/>
  <c r="BI45" i="1"/>
  <c r="F45" i="1"/>
  <c r="BI44" i="1"/>
  <c r="F44" i="1"/>
  <c r="BI43" i="1"/>
  <c r="F43" i="1"/>
  <c r="BI42" i="1"/>
  <c r="BI41" i="1"/>
  <c r="F41" i="1"/>
  <c r="BI40" i="1"/>
  <c r="F40" i="1"/>
  <c r="BI39" i="1"/>
  <c r="F39" i="1"/>
  <c r="BI38" i="1"/>
  <c r="F38" i="1"/>
  <c r="BI37" i="1"/>
  <c r="BI36" i="1"/>
  <c r="F36" i="1"/>
  <c r="BI35" i="1"/>
  <c r="F35" i="1"/>
  <c r="BI34" i="1"/>
  <c r="F34" i="1"/>
  <c r="BI33" i="1"/>
  <c r="F33" i="1"/>
  <c r="BI32" i="1"/>
  <c r="F32" i="1"/>
  <c r="BI31" i="1"/>
  <c r="F31" i="1"/>
  <c r="BI30" i="1"/>
  <c r="F30" i="1"/>
  <c r="BI29" i="1"/>
  <c r="F29" i="1"/>
  <c r="BI28" i="1"/>
  <c r="F28" i="1"/>
  <c r="BI27" i="1"/>
  <c r="F27" i="1"/>
  <c r="BI26" i="1"/>
  <c r="F26" i="1"/>
  <c r="BI25" i="1"/>
  <c r="F25" i="1"/>
  <c r="BI24" i="1"/>
  <c r="BI23" i="1"/>
  <c r="F23" i="1"/>
  <c r="BI22" i="1"/>
  <c r="F22" i="1"/>
  <c r="BI21" i="1"/>
  <c r="F21" i="1"/>
  <c r="BI20" i="1"/>
  <c r="F20" i="1"/>
  <c r="BI19" i="1"/>
  <c r="F19" i="1"/>
  <c r="BI18" i="1"/>
  <c r="F18" i="1"/>
  <c r="BI17" i="1"/>
  <c r="F17" i="1"/>
  <c r="BI16" i="1"/>
  <c r="F16" i="1"/>
  <c r="BI15" i="1"/>
  <c r="F15" i="1"/>
  <c r="BI14" i="1"/>
  <c r="F14" i="1"/>
  <c r="BI13" i="1"/>
  <c r="F13" i="1"/>
  <c r="BI12" i="1"/>
  <c r="F12" i="1"/>
  <c r="BI11" i="1"/>
  <c r="F11" i="1"/>
  <c r="BI10" i="1"/>
  <c r="F10" i="1"/>
  <c r="BI9" i="1"/>
  <c r="BI8" i="1"/>
  <c r="F8" i="1"/>
  <c r="BI7" i="1"/>
  <c r="F7" i="1"/>
  <c r="BI6" i="1"/>
  <c r="F6" i="1"/>
  <c r="BI5" i="1"/>
  <c r="F5" i="1"/>
</calcChain>
</file>

<file path=xl/sharedStrings.xml><?xml version="1.0" encoding="utf-8"?>
<sst xmlns="http://schemas.openxmlformats.org/spreadsheetml/2006/main" count="27500" uniqueCount="10844">
  <si>
    <t>ID</t>
  </si>
  <si>
    <t>Decision</t>
  </si>
  <si>
    <t>Article Title</t>
  </si>
  <si>
    <t>Abstract</t>
  </si>
  <si>
    <t>DOI</t>
  </si>
  <si>
    <t>DOI Link</t>
  </si>
  <si>
    <t>Document Type</t>
  </si>
  <si>
    <t>Authors</t>
  </si>
  <si>
    <t>Author Full Names</t>
  </si>
  <si>
    <t>Source Title</t>
  </si>
  <si>
    <t>Language</t>
  </si>
  <si>
    <t>Author Keywords</t>
  </si>
  <si>
    <t>Keywords Plus</t>
  </si>
  <si>
    <t>Addresses</t>
  </si>
  <si>
    <t>Affiliations</t>
  </si>
  <si>
    <t>Reprint Addresses</t>
  </si>
  <si>
    <t>Email Addresses</t>
  </si>
  <si>
    <t>Researcher Ids</t>
  </si>
  <si>
    <t>ORCIDs</t>
  </si>
  <si>
    <t>Funding Orgs</t>
  </si>
  <si>
    <t>Funding Name Preferred</t>
  </si>
  <si>
    <t>Funding Text</t>
  </si>
  <si>
    <t>Publication Type</t>
  </si>
  <si>
    <t>Cited Reference Count</t>
  </si>
  <si>
    <t>Times Cited, WoS Core</t>
  </si>
  <si>
    <t>Times Cited, All Databases</t>
  </si>
  <si>
    <t>180 Day Usage Count</t>
  </si>
  <si>
    <t>Since 2013 Usage Count</t>
  </si>
  <si>
    <t>Publisher</t>
  </si>
  <si>
    <t>Publisher City</t>
  </si>
  <si>
    <t>Publisher Address</t>
  </si>
  <si>
    <t>ISSN</t>
  </si>
  <si>
    <t>eISSN</t>
  </si>
  <si>
    <t>ISBN</t>
  </si>
  <si>
    <t>Journal Abbreviation</t>
  </si>
  <si>
    <t>Journal ISO Abbreviation</t>
  </si>
  <si>
    <t>Publication Date</t>
  </si>
  <si>
    <t>Publication Year</t>
  </si>
  <si>
    <t>Volume</t>
  </si>
  <si>
    <t>Issue</t>
  </si>
  <si>
    <t>Part Number</t>
  </si>
  <si>
    <t>Supplement</t>
  </si>
  <si>
    <t>Special Issue</t>
  </si>
  <si>
    <t>Meeting Abstract</t>
  </si>
  <si>
    <t>Start Page</t>
  </si>
  <si>
    <t>End Page</t>
  </si>
  <si>
    <t>Article Number</t>
  </si>
  <si>
    <t>Book DOI</t>
  </si>
  <si>
    <t>Early Access Date</t>
  </si>
  <si>
    <t>Number of Pages</t>
  </si>
  <si>
    <t>WoS Categories</t>
  </si>
  <si>
    <t>Web of Science Index</t>
  </si>
  <si>
    <t>Research Areas</t>
  </si>
  <si>
    <t>IDS Number</t>
  </si>
  <si>
    <t>Pubmed Id</t>
  </si>
  <si>
    <t>Open Access Designations</t>
  </si>
  <si>
    <t>Highly Cited Status</t>
  </si>
  <si>
    <t>Hot Paper Status</t>
  </si>
  <si>
    <t>Date of Export</t>
  </si>
  <si>
    <t>UT (Unique WOS ID)</t>
  </si>
  <si>
    <t>Web of Science Record</t>
  </si>
  <si>
    <t>Review</t>
  </si>
  <si>
    <t>A review of plastic pollution in aquatic ecosystems of Turkey</t>
  </si>
  <si>
    <t>Turkey is one of the major plastic pollution sources in the Mediterranean and the Black Sea. This review summarizes present information, data, and legislation on plastic pollution in Turkish aquatic ecosystems. According to results derived from reviewed studies, both macro- and microplastic pollutions were documented in Turkish aquatic ecosystems. Most of the studies on plastic pollution in Turkish waters were performed in the marine environment while only four were conducted in freshwater environments. Spatially, the majority of these studies, which were on levels in the marine environment, were conducted on the northeastern Mediterranean coasts of Turkey, especially Iskenderun and Mersin Bays. Additional studies were carried out on either the ingestion/presence/impact of microplastics by/to aquatic organisms or the entanglement of marine organisms in plastics. There were also studies assessing the microplastic content of commercial salt, and another has reported microplastic presence in traditional stuffed mussels sold in Turkish streets. Some studies were conducted on microplastic presence and/or their removal in wastewater treatment plants in Mersin, Adana, Mugla, and Istanbul cities. Macro- and microliter loading from a few Turkish rivers to the sea was also estimated. All these investigations indicate that Turkish aquatic environments have significant plastic pollution problems, which were also underlined by the legislative studies. The need for further studies in this field still exists, especially in freshwater environments.</t>
  </si>
  <si>
    <t>10.1007/s11356-021-17648-3</t>
  </si>
  <si>
    <t>Cevik, C; Kideys, AE; Tavsanoglu, UN; Kankilic, GB; Gundogdu, S</t>
  </si>
  <si>
    <t>Cevik, Cem; Kideys, Ahmet Erkan; Tavsanoglu, Ulku Nihan; Kankilic, Gokben Basaran; Gundogdu, Sedat</t>
  </si>
  <si>
    <t>ENVIRONMENTAL SCIENCE AND POLLUTION RESEARCH</t>
  </si>
  <si>
    <t>English</t>
  </si>
  <si>
    <t>Plastic pollution; Turkish Aquatic Ecosystems; Microplastics; Mediterranean Sea</t>
  </si>
  <si>
    <t>NE LEVANTINE COAST; WATER TREATMENT PLANTS; BENTHIC MARINE LITTER; MUNICIPAL SOLID-WASTE; EASTERN BLACK-SEA; MICROPLASTIC POLLUTION; MEDITERRANEAN SEA; ISKENDERUN BAY; SURFACE WATERS; CHELONIA-MYDAS</t>
  </si>
  <si>
    <t>[Cevik, Cem; Gundogdu, Sedat] Cukurova Univ, Fac Fisheries, Dept Basic Sci, TR-01330 Adana, Turkey; [Kideys, Ahmet Erkan] Middle East Tech Univ, Inst Marine Sci, Mersin, Turkey; [Tavsanoglu, Ulku Nihan] Cankiri Karatekin Univ, Fac Sci, Dept Biol, Cankiri, Turkey; [Kankilic, Gokben Basaran] Kirikkale Univ, Fac Art &amp; Sci, Dept Biol, Kirikkale, Turkey</t>
  </si>
  <si>
    <t>Cukurova University; Middle East Technical University; Cankiri Karatekin University; Kirikkale University</t>
  </si>
  <si>
    <t>Gundogdu, S (corresponding author), Cukurova Univ, Fac Fisheries, Dept Basic Sci, TR-01330 Adana, Turkey.</t>
  </si>
  <si>
    <t>sgundogdu@cu.edu.tr</t>
  </si>
  <si>
    <t>KIDEYS, Ahmet Erkan/HZK-4698-2023; Gündoğdu, Sedat/B-4475-2018</t>
  </si>
  <si>
    <t>Gündoğdu, Sedat/0000-0002-4415-2837; KIDEYS, AHMET ERKAN/0000-0002-1113-2434</t>
  </si>
  <si>
    <t>Turkish Scientific Research Council [119Y031, 117Y212]; Cukurova Universtiy [FBA-2016-7634, FBA-2016-7389]</t>
  </si>
  <si>
    <t>Turkish Scientific Research Council(Turkiye Bilimsel ve Teknolojik Arastirma Kurumu (TUBITAK)); Cukurova Universtiy</t>
  </si>
  <si>
    <t>The authors received financial support from the Turkish Scientific Research Council for financial support through projects numbers 119Y031 and 117Y212; the Cukurova Universtiy Scientific Project unit through projects numbers FBA-2016-7634 and FBA-2016-7389.</t>
  </si>
  <si>
    <t>J</t>
  </si>
  <si>
    <t>SPRINGER HEIDELBERG</t>
  </si>
  <si>
    <t>HEIDELBERG</t>
  </si>
  <si>
    <t>TIERGARTENSTRASSE 17, D-69121 HEIDELBERG, GERMANY</t>
  </si>
  <si>
    <t>0944-1344</t>
  </si>
  <si>
    <t>1614-7499</t>
  </si>
  <si>
    <t/>
  </si>
  <si>
    <t>ENVIRON SCI POLLUT R</t>
  </si>
  <si>
    <t>Environ. Sci. Pollut. Res.</t>
  </si>
  <si>
    <t>APR</t>
  </si>
  <si>
    <t>DEC 2021</t>
  </si>
  <si>
    <t>Environmental Sciences</t>
  </si>
  <si>
    <t>Science Citation Index Expanded (SCI-EXPANDED)</t>
  </si>
  <si>
    <t>Environmental Sciences &amp; Ecology</t>
  </si>
  <si>
    <t>0I5GL</t>
  </si>
  <si>
    <t>2023-07-28</t>
  </si>
  <si>
    <t>WOS:000724663500014</t>
  </si>
  <si>
    <t>Microplastics in the environment: A critical review of current understanding and identification of future research needs</t>
  </si>
  <si>
    <t>Microplastics (plastic particles &lt;5 mm) are a contaminant of increasing ecotoxicological concern in aquatic environments, as well as for human health. Although microplastic pollution is widespread across the land, water, and air, these environments are commonly considered independently; however, in reality are closely linked. This study aims to review the scientific literature related microplastic research in different environmental compartments and to identify the research gaps for the assessment of future research priorities. Over 200 papers involving microplastic pollution, published between 2006 and 2018, are identified in the Web of Science database. The original research articles in 'Environmental Sciences', 'Marine/Freshwater Biology', 'Toxicology', 'Multidisciplinary Sciences', 'Environmental Studies', 'Oceanography', 'Limnology' and 'Ecology' categories of Web of Science are selected to investigate microplastic research in seas, estuaries, rivers, lakes, soil and atmosphere. The papers identified for seas, estuaries, rivers and lakes are further classified according to (i) occurrence and characterization (ii) uptake by and effects in organisms, and (iii) fate and transport issues. The results reveal that whilst marine micro plastics have received substantial scientific research, the extent of microplastic pollution in continental environments, such as rivers, lakes, soil and air, and environmental interactions, remains poorly understood. (C) 2019 Elsevier Ltd. All rights reserved.</t>
  </si>
  <si>
    <t>10.1016/j.envpol.2019.113011</t>
  </si>
  <si>
    <t>Akdogan, Z; Guven, B</t>
  </si>
  <si>
    <t>Akdogan, Zeynep; Guven, Basak</t>
  </si>
  <si>
    <t>ENVIRONMENTAL POLLUTION</t>
  </si>
  <si>
    <t>Microplastic; Environmental compartments; Occurrence and characterization; Uptake by organisms; Effects in organisms; Fate and transport</t>
  </si>
  <si>
    <t>GOBY POMATOSCHISTUS-MICROPS; FLOATING PLASTIC DEBRIS; POLYCYCLIC AROMATIC-HYDROCARBONS; PERSISTENT ORGANIC POLLUTANTS; DICENTRARCHUS-LABRAX LINNAEUS; POTENTIALLY TOXIC ELEMENTS; PEARL RIVER ESTUARY; 3 GORGES RESERVOIR; EUROPEAN SEA-BASS; FRESH-WATER FISH</t>
  </si>
  <si>
    <t>[Akdogan, Zeynep; Guven, Basak] Bogazici Univ, Inst Environm Sci, TR-34342 Istanbul, Turkey</t>
  </si>
  <si>
    <t>Bogazici University</t>
  </si>
  <si>
    <t>Guven, B (corresponding author), Bogazici Univ, Inst Environm Sci, TR-34342 Istanbul, Turkey.</t>
  </si>
  <si>
    <t>basak.guven@boun.edu.tr</t>
  </si>
  <si>
    <t>Akdogan, Zeynep/AAM-7708-2020; Guven, Basak/A-3534-2016</t>
  </si>
  <si>
    <t xml:space="preserve">Akdogan, Zeynep/0000-0002-8968-6410; </t>
  </si>
  <si>
    <t>Bokazici University Research Fund [14507]</t>
  </si>
  <si>
    <t>Bokazici University Research Fund</t>
  </si>
  <si>
    <t>This research is supported by Bokazici University Research Fund Grant Number 14507.</t>
  </si>
  <si>
    <t>ELSEVIER SCI LTD</t>
  </si>
  <si>
    <t>OXFORD</t>
  </si>
  <si>
    <t>THE BOULEVARD, LANGFORD LANE, KIDLINGTON, OXFORD OX5 1GB, OXON, ENGLAND</t>
  </si>
  <si>
    <t>0269-7491</t>
  </si>
  <si>
    <t>1873-6424</t>
  </si>
  <si>
    <t>ENVIRON POLLUT</t>
  </si>
  <si>
    <t>Environ. Pollut.</t>
  </si>
  <si>
    <t>NOV</t>
  </si>
  <si>
    <t>A</t>
  </si>
  <si>
    <t>JB9FS</t>
  </si>
  <si>
    <t>WOS:000488887500003</t>
  </si>
  <si>
    <t>Microplastics as emerging atmospheric pollutants: a review and bibliometric analysis</t>
  </si>
  <si>
    <t>Microplastics are ubiquitously present in various environments; thus, they have become a noteworthy issue by researchers. The present study aimed to provide state-of-the-art on microplastic studies and in detail to review the researches on atmospheric microplastic pollution in terms of occurrence, distribution, sampling, analysis, sources, and transport. The results of the bibliometric analysis showed that the annual output in microplastic research has increased, especially during the last 5 years. The research hot spots in the microplastic topic are marine environment, surface water, freshwater, wastewater, toxic effects, and fate and transport of microplastics. The number of studies investigating atmospheric microplastic pollution is still so limited, although microplastics in the atmosphere became one of the notable subjects. Natural and synthetic fibers were mainly detected in the studies investigating microplastic pollution in the air. Textile clothes, anthropogenic activities, and fragmentation of large plastics were indicated as the main sources, while the wind was pointed out as the predominant transport mechanism of atmospheric microplastics. Detailed and comprehensive studies on the determination of the fate and transport of microplastics in the air as well as their health effects are needed.</t>
  </si>
  <si>
    <t>10.1007/s11869-020-00926-3</t>
  </si>
  <si>
    <t>Can-Guven, E</t>
  </si>
  <si>
    <t>Can-Guven, Emine</t>
  </si>
  <si>
    <t>AIR QUALITY ATMOSPHERE AND HEALTH</t>
  </si>
  <si>
    <t>Atmospheric fallout; Fiber; Indoor air; Outdoor air; Research trend</t>
  </si>
  <si>
    <t>WATER TREATMENT PLANTS; MARINE-ENVIRONMENT; WASTE-WATER; SYNTHETIC-FIBERS; TRANSPORT; ABUNDANCE; SEA; INGESTION; POLLUTION; IMPACTS</t>
  </si>
  <si>
    <t>[Can-Guven, Emine] Yildiz Tech Univ, Dept Environm Engn, Fac Civil Engn, TR-34220 Istanbul, Turkey</t>
  </si>
  <si>
    <t>Yildiz Technical University</t>
  </si>
  <si>
    <t>Can-Guven, E (corresponding author), Yildiz Tech Univ, Dept Environm Engn, Fac Civil Engn, TR-34220 Istanbul, Turkey.</t>
  </si>
  <si>
    <t>ecguven@yildiz.edu.tr</t>
  </si>
  <si>
    <t>Güven, Emine Can/P-1581-2019</t>
  </si>
  <si>
    <t>Güven, Emine Can/0000-0002-3540-3235</t>
  </si>
  <si>
    <t>SPRINGER</t>
  </si>
  <si>
    <t>DORDRECHT</t>
  </si>
  <si>
    <t>VAN GODEWIJCKSTRAAT 30, 3311 GZ DORDRECHT, NETHERLANDS</t>
  </si>
  <si>
    <t>1873-9318</t>
  </si>
  <si>
    <t>1873-9326</t>
  </si>
  <si>
    <t>AIR QUAL ATMOS HLTH</t>
  </si>
  <si>
    <t>Air Qual. Atmos. Health</t>
  </si>
  <si>
    <t>FEB</t>
  </si>
  <si>
    <t>SEP 2020</t>
  </si>
  <si>
    <t>PY4HS</t>
  </si>
  <si>
    <t>WOS:000565466000001</t>
  </si>
  <si>
    <t>A Comprehensive Review on Microplastic Pollution in Aquatic Ecosystems and Their Effects on Aquatic Biota</t>
  </si>
  <si>
    <t>Plastic wastes released into the environment break down into fine particles due to exposure to meteorological events such as wind, precipitation, UV radiation, and abrasion. These smaller plas-tic particles, ranging between 1 mu m and 5 mm, are called microplastics and they can be transported over longer distances with the aid of erosion, waste water discharges, winds, and currents. Aquatic habitats are the final sink for many pollutants including heavy metals, pesticides, nanoparticles, and microplastics released into environment. Thus, these pollutants are considered a major threat to aquatic life. In this study, we reviewed studies i: focusing on the type, size and the quantity of mi-croplastics observed in freshwater and marine ecosystems, and ii: studies on the effects of micro -plastics on aquatic organisms. The data gathered clearly indicates that microplastics are quite abundant in freshwater and marine ecosystems. Furthermore, nearly in all studies reviewed, micro -plastic uptake and alterations in several biochemical parameters depending on microplastic expo-sure are recorded. The studies also point out that microplastics will become a global serious health concern both for human beings and aquatic organisms in the near future.</t>
  </si>
  <si>
    <t>10.26650/ASE20221186783</t>
  </si>
  <si>
    <t>Sazli, D; Nassouhi, D; Ergonul, MB; Atasagun, S</t>
  </si>
  <si>
    <t>Sazli, Duygu; Nassouhi, Danial; Ergonul, Mehmet Borga; Atasagun, Sibel</t>
  </si>
  <si>
    <t>AQUATIC SCIENCES AND ENGINEERING</t>
  </si>
  <si>
    <t>Microplastic; polyethylene; PVC; plastic; pollution</t>
  </si>
  <si>
    <t>ENVIRONMENTALLY RELEVANT CONCENTRATIONS; FRESH-WATER; SURFACE WATERS; POLYSTYRENE MICROPLASTICS; MARINE-ENVIRONMENT; PLASTIC DEBRIS; POLYETHYLENE MICROPLASTICS; VIRGIN MICROPLASTICS; SEA SEDIMENTS; DAPHNIA-MAGNA</t>
  </si>
  <si>
    <t>[Sazli, Duygu; Nassouhi, Danial; Ergonul, Mehmet Borga; Atasagun, Sibel] Ankara Univ, Fac Sci, Dept Biol, Ankara, Turkiye</t>
  </si>
  <si>
    <t>Ankara University</t>
  </si>
  <si>
    <t>Ergonul, MB (corresponding author), Ankara Univ, Fac Sci, Dept Biol, Ankara, Turkiye.</t>
  </si>
  <si>
    <t>borga@science.ankara.edu.tr</t>
  </si>
  <si>
    <t>nassouhi, danial/AAE-2218-2019</t>
  </si>
  <si>
    <t>nassouhi, danial/0000-0003-3693-6313</t>
  </si>
  <si>
    <t>ISTANBUL UNIV PRESS, FAC AQUATIC SCIENCES</t>
  </si>
  <si>
    <t>ISTANBUL</t>
  </si>
  <si>
    <t>ORDU CAD 8, ISTANBUL, 34134, TURKEY</t>
  </si>
  <si>
    <t>2602-473X</t>
  </si>
  <si>
    <t>AQUAT SCI ENG</t>
  </si>
  <si>
    <t>Aquat. Sci. Eng.</t>
  </si>
  <si>
    <t>Marine &amp; Freshwater Biology</t>
  </si>
  <si>
    <t>Emerging Sources Citation Index (ESCI)</t>
  </si>
  <si>
    <t>8N7OP</t>
  </si>
  <si>
    <t>WOS:000925337200003</t>
  </si>
  <si>
    <t>Chemicals associated with plastics and their ecological risks</t>
  </si>
  <si>
    <t>Because of its numerous social benefits, plastics hold an important place in human society. Plastic, a man-made material, is cheap, strong, durable, light weight and easy to produce. Plastics usually contain additives (e.g., plasticizers, surfactants, flame retardants, anti-microbials, UV filters), depending on the type of plastic (composition), synthesis route, and degree of material purification. Microplastic uptake can also lead to exposure of organisms to additive chemicals. Plastics debris, especially microplastics, has been found worldwide in all marine environment. Many researches has been studied on adsorbed pollutants on plastic pieces associated with microplastics. However, only a few studies have focused on plastic additives. These chemicals are incorporated into plastics, which they can leach out as most of them are not chemically bound. As a consequence of plastic accumulation and fragmentation in oceans, plastic additives could represent an increasing ecotoxicological risk for marine organisms. This study reviewed some important plastic additives identified in the literature, their occurrence in the marine environment. Phthalates (phthalic acid esters) (PAEs), organophosphates (OPEs) and bisphenol A (BPA) the most common plastic additives. In addition, the transfer of these plastic additives to marine organisms has been demonstrated in many studies. New research focusing on the toxicity of microplastics should include these plastic additives as potential hazards to marine organisms, and now more attention should be given to the transport and fate of plastic additives, considering that these chemicals can easily leak out of plastics.</t>
  </si>
  <si>
    <t>Article; Book Chapter</t>
  </si>
  <si>
    <t>Alkan, N; Alkan, A</t>
  </si>
  <si>
    <t>Alkan, Nigar; Alkan, Ali</t>
  </si>
  <si>
    <t>MARINE LITTER IN THE BLACK SEA</t>
  </si>
  <si>
    <t>Plastic additives; phthalic acid esters; organophosphates; bisphenol A; microplastic</t>
  </si>
  <si>
    <t>ORGANOPHOSPHORUS FLAME RETARDANTS; PHTHALATE ACID-ESTERS; TREATED WASTE-WATER; PEARL RIVER DELTA; BISPHENOL-A; SEDIMENT SAMPLES; RECEIVING WATERS; THERMAL PAPER; SEWAGE-SLUDGE; SURFACE-WATER</t>
  </si>
  <si>
    <t>[Alkan, Nigar] Karadeniz Tech Univ, Fac Marine Sci, TR-61530 Trabzon, Turkey; [Alkan, Ali] Karadeniz Tech Univ, Inst Marine Sci &amp; Technol, TR-61080 Trabzon, Turkey</t>
  </si>
  <si>
    <t>Karadeniz Technical University; Karadeniz Technical University</t>
  </si>
  <si>
    <t>Alkan, N (corresponding author), Karadeniz Tech Univ, Fac Marine Sci, TR-61530 Trabzon, Turkey.</t>
  </si>
  <si>
    <t>anigar@gmail.com</t>
  </si>
  <si>
    <t>Alkan, Ali/AAY-2132-2021; ALKAN, NIGAR/ABA-4539-2021</t>
  </si>
  <si>
    <t>ALKAN, NIGAR/0000-0001-9181-4285</t>
  </si>
  <si>
    <t>B</t>
  </si>
  <si>
    <t>TURKISH MARINE RESEARCH FOUNDATION-TUDAV</t>
  </si>
  <si>
    <t>PO Box 10, BEYKOZ 34820, ISTANBUL, BYZANTION, TURKEY</t>
  </si>
  <si>
    <t>978-975-8825-48-6</t>
  </si>
  <si>
    <t>TURK MAR RES FND PUB</t>
  </si>
  <si>
    <t>Ecology; Environmental Sciences</t>
  </si>
  <si>
    <t>Book Citation Index – Science (BKCI-S)</t>
  </si>
  <si>
    <t>BR2CI</t>
  </si>
  <si>
    <t>WOS:000637180200027</t>
  </si>
  <si>
    <t>Microplastic Contamination in Soils: A Review from Geotechnical Engineering View</t>
  </si>
  <si>
    <t>Microplastic contamination is a growing threat to marine and freshwater ecosystems, agricultural production, groundwater, plant growth and even human and animal health. Disintegration of plastic products due to mainly biochemical or physical activities leads to the formation and existence of microplastics in significant amounts, not only in marine and freshwater environments but also in soils. There are several valuable studies on microplastics in soils, which have typically focused on environmental, chemical, agricultural and health aspects. However, there is also a need for the geotechnical engineering perspective on microplastic contamination in soils. In this review paper, first, degradation, existence and persistence of microplastics in soils are assessed by considering various studies. Then, the potential role of solid waste disposal facilities as a source for microplastics is discussed by considering their geotechnical design and addressing the risk for the migration of microplastics from landfills to soils and other environments. Even though landfills are considered as one of the main geotechnical structures that contribute to the formation of considerably high amounts of microplastics and their contamination in soils, some other geotechnical engineering applications (i.e., soil improvement with tirechips, forming engineering fills with dredged sediments, soil improvement with synthetic polymer-based fibers, polystyrene based lightweight fill applications), as potential local source for microplastics, are also mentioned. Finally, the importance of geotechnical engineering as a mitigation tool for microplastics is emphasized and several important research topics involving geotechnical engineering are suggested.</t>
  </si>
  <si>
    <t>10.3390/polym13234129</t>
  </si>
  <si>
    <t>Article</t>
  </si>
  <si>
    <t>Monkul, MM; Oezhan, HO</t>
  </si>
  <si>
    <t>Monkul, Mehmet Murat; oezhan, Hakki O.</t>
  </si>
  <si>
    <t>POLYMERS</t>
  </si>
  <si>
    <t>microplastics; soil; polymers; geotechnics; landfills; geosynthetics; GCL; clay liner; hydraulic conductivity; plastics</t>
  </si>
  <si>
    <t>FRESH-WATER; CLAY LINERS; DEGRADATION; BIODEGRADATION; POLYETHYLENE; STABILIZATION; POLLUTION; STRENGTH; BEHAVIOR; SYSTEMS</t>
  </si>
  <si>
    <t>[Monkul, Mehmet Murat; oezhan, Hakki O.] Yeditepe Univ, Dept Civil Engn, TR-34755 Istanbul, Turkey</t>
  </si>
  <si>
    <t>Yeditepe University</t>
  </si>
  <si>
    <t>Monkul, MM (corresponding author), Yeditepe Univ, Dept Civil Engn, TR-34755 Istanbul, Turkey.</t>
  </si>
  <si>
    <t>murat.monkul@yeditepe.edu.tr; hakki.ozhan@yeditepe.edu.tr</t>
  </si>
  <si>
    <t>Monkul, Mehmet Murat/0000-0002-9313-9671; Ozhan, Hakki Oral/0000-0002-4620-5568</t>
  </si>
  <si>
    <t>MDPI</t>
  </si>
  <si>
    <t>BASEL</t>
  </si>
  <si>
    <t>ST ALBAN-ANLAGE 66, CH-4052 BASEL, SWITZERLAND</t>
  </si>
  <si>
    <t>2073-4360</t>
  </si>
  <si>
    <t>POLYMERS-BASEL</t>
  </si>
  <si>
    <t>Polymers</t>
  </si>
  <si>
    <t>DEC</t>
  </si>
  <si>
    <t>Polymer Science</t>
  </si>
  <si>
    <t>XU8GJ</t>
  </si>
  <si>
    <t>gold, Green Published</t>
  </si>
  <si>
    <t>WOS:000734496200001</t>
  </si>
  <si>
    <t>Mathematical modeling of microplastic abundance, distribution, and transport in water environments: A review</t>
  </si>
  <si>
    <t>Microplastic pollution in marine and riverine environments is a threat not only for the aquatic ecosystem itself but also for human activity and life. Although there are reviews regarding microplastic debris in environments, most of them focus on the studies on their type, occurrence, and distribution. Only a limited number of these studies focus on the modeling methods, usually concentrating on particular aspects, such as settling or bioaccumulation. In this paper, physically-based existing microplastics modeling studies are classified and reviewed according to the environment, modeling methodology, and input-output relationships. Considering the strengths and weaknesses of all modeling methodologies, it is deduced that more reliable results are obtained using hybrid methods, especially the coupling of hydrodynamic and process-based models, and hydrodynamics and statistical models. The significance of having much more consideration and knowledge on the microplastics' physical properties and the environmental processes affecting their fate and transport in the aquatic environments is revealed for future research. It has also been recommended that a standardized method for data calibration, validation, and verification is necessary to be able to compare the modeling results with field investigations more efficiently than it is currently.</t>
  </si>
  <si>
    <t>10.1016/j.chemosphere.2021.132517</t>
  </si>
  <si>
    <t>Uzun, P; Farazande, S; Guven, B</t>
  </si>
  <si>
    <t>Uzun, Pelin; Farazande, Sofi; Guven, Basak</t>
  </si>
  <si>
    <t>CHEMOSPHERE</t>
  </si>
  <si>
    <t>Fate; Hydrodynamic; Process-based; Marine; River</t>
  </si>
  <si>
    <t>FLOATING MARINE DEBRIS; PLASTIC DEBRIS; MEDITERRANEAN SEA; SPATIAL-DISTRIBUTION; NUMERICAL-MODEL; WASTE-WATER; FRESH-WATER; FATE; SURFACE; ACCUMULATION</t>
  </si>
  <si>
    <t>[Uzun, Pelin; Farazande, Sofi] Bogazici Univ, Fac Engn, TR-34342 Istanbul, Turkey; [Guven, Basak] Bogazici Univ, Inst Environm Sci, TR-34342 Istanbul, Turkey</t>
  </si>
  <si>
    <t>Bogazici University; Bogazici University</t>
  </si>
  <si>
    <t>Guven, Basak/A-3534-2016</t>
  </si>
  <si>
    <t>UZUN, PELIN/0000-0003-3462-6573; Farazande, Sofi/0000-0002-7759-5132</t>
  </si>
  <si>
    <t>Bogazici University Research Fund [14507]</t>
  </si>
  <si>
    <t>Bogazici University Research Fund(Bogazici University)</t>
  </si>
  <si>
    <t>This research is supported by Bogazici University Research Fund [grant number 14507] .</t>
  </si>
  <si>
    <t>PERGAMON-ELSEVIER SCIENCE LTD</t>
  </si>
  <si>
    <t>THE BOULEVARD, LANGFORD LANE, KIDLINGTON, OXFORD OX5 1GB, ENGLAND</t>
  </si>
  <si>
    <t>0045-6535</t>
  </si>
  <si>
    <t>1879-1298</t>
  </si>
  <si>
    <t>Chemosphere</t>
  </si>
  <si>
    <t>OCT 2021</t>
  </si>
  <si>
    <t>WL1CJ</t>
  </si>
  <si>
    <t>WOS:000710151800006</t>
  </si>
  <si>
    <t>The impact of nano/micro-plastics toxicity on seafood quality and human health: facts and gaps</t>
  </si>
  <si>
    <t>Contamination of the food and especially marine environment with nano/micro-plastic particles has raised serious concern in recent years. Environmental pollution and the resulting seafood contamination with microplastic (MP) pose a potential threat to consumers. The absorption rate of the MP by fish is generally considered low, although the bioavailability depends on the physical and chemical properties of the consumed MP. The available safety studies are inconclusive, although there is an indication that prolonged exposure to high levels of orally administered MP can be hazardous for consumers. This review details novel findings about the occurrence of MP, along with its physical and chemical properties, in the marine environment and seafood. The effect of processing on the content of MP in the final product is also reviewed. Additionally, recent findings regarding the impact of exposure of MP on human health are discussed. Finally, gaps in current knowledge are underlined, and the possibilities for future research are indicated in the review. There is an urgent need for further research on the absorption and bioavailability of consumed MP and in vivo studies on chronic exposure. Policymakers should also consider the implementation of novel legislation related to MP presence in food.</t>
  </si>
  <si>
    <t>10.1080/10408398.2022.2033684</t>
  </si>
  <si>
    <t>Review; Early Access</t>
  </si>
  <si>
    <t>Gundogdu, S; Rathod, N; Hassoun, A; Jamroz, E; Kulawik, P; Gokbulut, C; Ait-Kaddour, A; Ozogul, F</t>
  </si>
  <si>
    <t>Gundogdu, Sedat; Rathod, Nikheel; Hassoun, Abdo; Jamroz, Ewelina; Kulawik, Piotr; Gokbulut, Cengiz; Ait-Kaddour, Abderrahmane; Ozogul, Fatih</t>
  </si>
  <si>
    <t>CRITICAL REVIEWS IN FOOD SCIENCE AND NUTRITION</t>
  </si>
  <si>
    <t>Analytical methods; food quality; human health; microplastic; seafood</t>
  </si>
  <si>
    <t>TABLE SALTS; MICROPLASTIC CONTAMINATION; POLYSTYRENE MICROPLASTICS; COMMERCIAL FISH; NORTH-SEA; PARTICLES; WATER; SIZE; NANOPLASTICS; POLYETHYLENE</t>
  </si>
  <si>
    <t>[Gundogdu, Sedat] Cukurova Univ, Dept Basic Sci, Fac Fisheries, Adana, Turkey; [Rathod, Nikheel] Dr Balasaheb Sawant Konkan Krishi Vidyapeeth, Post Grad Inst Postharvest Management, bDept Post Harvest Management Meat Poultry &amp; Fish, Dapoli, Maharashtra, India; [Hassoun, Abdo] Sustainable AgriFoodtech Innovat &amp; Res SAFIR, Arras, France; [Hassoun, Abdo] Syrian Acad Expertise SAE, Gaziantep, Turkey; [Jamroz, Ewelina] Univ Agr, Fac Food Technol, Dept Anim Prod Technol, Karakow, Poland; [Kulawik, Piotr] Adnan Menderes Univ, Dept Pharmacol &amp; Toxicol, Aydin, Turkey; [Gokbulut, Cengiz] Balikesir Univ, Fac Med, Dept Pharmacol, Cagis Campus, Balikesir, Turkey; [Ait-Kaddour, Abderrahmane] Univ Clermont Auvergne, VetAgro Sup, UMRF, INRAE, Lempdes, France; [Ozogul, Fatih] Cukurova Univ, Dept Seafood Proc Technol, Fac Fisheries, Adana, Turkey</t>
  </si>
  <si>
    <t>Cukurova University; Adnan Menderes University; Balikesir University; INRAE; Universite Clermont Auvergne (UCA); VetAgro Sup; Cukurova University</t>
  </si>
  <si>
    <t>Ozogul, F (corresponding author), Cukurova Univ, Dept Seafood Proc Technol, Fac Fisheries, Adana, Turkey.</t>
  </si>
  <si>
    <t>fozogul@cu.edu.tr</t>
  </si>
  <si>
    <t>Kulawik, Piotr/C-3987-2019; OZOGUL, Fatih/B-3889-2011; Hassoun, Abdo/GNM-9800-2022; Gündoğdu, Sedat/B-4475-2018; Rathod, Nikheel/AAI-7717-2021; Gokbulut, Cengiz/B-1956-2016</t>
  </si>
  <si>
    <t>Kulawik, Piotr/0000-0002-1696-4045; OZOGUL, Fatih/0000-0002-0655-0105; Gündoğdu, Sedat/0000-0002-4415-2837; Rathod, Nikheel/0000-0003-1561-5924; Gokbulut, Cengiz/0000-0002-4912-7307; HASSOUN, ABDO/0000-0002-3059-292X; AIT KADDOUR, Abderrahmane/0000-0003-4132-539X</t>
  </si>
  <si>
    <t>TAYLOR &amp; FRANCIS INC</t>
  </si>
  <si>
    <t>PHILADELPHIA</t>
  </si>
  <si>
    <t>530 WALNUT STREET, STE 850, PHILADELPHIA, PA 19106 USA</t>
  </si>
  <si>
    <t>1040-8398</t>
  </si>
  <si>
    <t>1549-7852</t>
  </si>
  <si>
    <t>CRIT REV FOOD SCI</t>
  </si>
  <si>
    <t>Crit. Rev. Food Sci. Nutr.</t>
  </si>
  <si>
    <t>2022 JAN 25</t>
  </si>
  <si>
    <t>JAN 2022</t>
  </si>
  <si>
    <t>Food Science &amp; Technology; Nutrition &amp; Dietetics</t>
  </si>
  <si>
    <t>YY7KB</t>
  </si>
  <si>
    <t>WOS:000754964500001</t>
  </si>
  <si>
    <t>Identification, characterisation of microplastic and their effects on aquatic organisms</t>
  </si>
  <si>
    <t>Due to global warming, drought, population growth and industrialisation, existing water resources are rapidly being depleted and polluted. Pollution caused by millions of plastic waste reaching water resources seriously threatens the aquatic environment. This manuscript reviews the current state of knowledge about microplastics in the aquatic ecosystem, their analysis and detection methods, and their effects on aquatic organisms. In addition to the measurement methods, alternative new methods and the relevant findings for MPs, including abundance, size, shapes, colours and polymer types are summarised considering the literature. In addition, the effects of microplastics on the aquatic ecosystem especially fish had been evaluated. In the light of the completed researches, it is understood that abundance and size of MP s are connected with fish species, tissue type and feeding regime. KOH for the digestion in tissues and fenton reagent for sediment samples were found as more suitable techniques. FTIR and Raman spectroscopy were more advantaged because they are not only fast - easy but also have repeatable specifications.</t>
  </si>
  <si>
    <t>10.1080/02757540.2022.2126461</t>
  </si>
  <si>
    <t>Alak, G; Ucar, A; Parlak, V; Atamanalp, M</t>
  </si>
  <si>
    <t>Alak, Gonca; Ucar, Arzu; Parlak, Veysel; Atamanalp, Muhammed</t>
  </si>
  <si>
    <t>CHEMISTRY AND ECOLOGY</t>
  </si>
  <si>
    <t>Microplastic; aquatic ecosystem; aquatic organisms; pollution</t>
  </si>
  <si>
    <t>OXIDATIVE STRESS; DEMERSAL FISH; PARTICLES; INGESTION; EXTRACTION; CONTAMINATION; POLLUTION; RELEVANCE; RESPONSES; TOXICITY</t>
  </si>
  <si>
    <t>[Alak, Gonca] Ataturk Univ, Fac Fisheries, Dept Seafood Proc Technol, TR-25030 Erzurum, Turkey; [Ucar, Arzu; Parlak, Veysel; Atamanalp, Muhammed] Ataturk Univ, Fac Fisheries, Dept Aquaculture, Erzurum, Turkey</t>
  </si>
  <si>
    <t>Ataturk University; Ataturk University</t>
  </si>
  <si>
    <t>Alak, G (corresponding author), Ataturk Univ, Fac Fisheries, Dept Seafood Proc Technol, TR-25030 Erzurum, Turkey.</t>
  </si>
  <si>
    <t>galak@atauni.edu.tr</t>
  </si>
  <si>
    <t>Atamanalp, Muhammed/AAG-2950-2020; ALAK, Gonca/HZK-0144-2023</t>
  </si>
  <si>
    <t>parlak, veysel/0000-0002-3459-7963; ATAMANALP, MUHAMMED/0000-0002-2038-3921</t>
  </si>
  <si>
    <t>TAYLOR &amp; FRANCIS LTD</t>
  </si>
  <si>
    <t>ABINGDON</t>
  </si>
  <si>
    <t>2-4 PARK SQUARE, MILTON PARK, ABINGDON OR14 4RN, OXON, ENGLAND</t>
  </si>
  <si>
    <t>0275-7540</t>
  </si>
  <si>
    <t>1029-0370</t>
  </si>
  <si>
    <t>CHEM ECOL</t>
  </si>
  <si>
    <t>Chem. Ecol.</t>
  </si>
  <si>
    <t>NOV 26</t>
  </si>
  <si>
    <t>SEP 2022</t>
  </si>
  <si>
    <t>Biochemistry &amp; Molecular Biology; Ecology; Environmental Sciences</t>
  </si>
  <si>
    <t>Biochemistry &amp; Molecular Biology; Environmental Sciences &amp; Ecology</t>
  </si>
  <si>
    <t>5L6GV</t>
  </si>
  <si>
    <t>WOS:000860039500001</t>
  </si>
  <si>
    <t>Effects of plastics and microplastics on aquatic organisms and human health</t>
  </si>
  <si>
    <t>Today, plastics have been used in many areas and their use have been increasing day by day. This increase in the use of plastic causes environmental pollution as well as negatively affects organisms in the environment and therefore human health. Plastics reach to the water environment through different transport routes. Microplastics that have reached to the water environment are consumed by aquatic organisms. Microplastics in aquatic species (fish, mussels, shrimp, seals, etc.) were highlighted in many studies. Microplastics consumed by aquatic organisms are included in the food network, reaching as far as human consumption. Therefore, the importance of the subject have been emphasized, the evaluation of the studies on microplastics and the risks it poses have been examined in this compilation study which was carried out in order to raise awareness about this issue and to ensure that the necessary measures will be taken.</t>
  </si>
  <si>
    <t>10.12714/egejfas.37.4.16</t>
  </si>
  <si>
    <t>Bulat, FN; Kilinc, B</t>
  </si>
  <si>
    <t>Bulat, Fevziye Nihan; Kilinc, Berna</t>
  </si>
  <si>
    <t>SU URUNLERI DERGISI</t>
  </si>
  <si>
    <t>Turkish</t>
  </si>
  <si>
    <t>Plastic; microplastic; seafood; human health</t>
  </si>
  <si>
    <t>PELAGIC FISH; FUR SEALS; MARINE LITTER; NORTH-SEA; INGESTION; DEBRIS; POLLUTION; WATER; CONTAMINATION; POLLUTANTS</t>
  </si>
  <si>
    <t>[Bulat, Fevziye Nihan; Kilinc, Berna] Ege Univ, Avlama &amp; Isleme Teknolojisi Bolumu, Su Urunleri Fak, TR-35100 Bornova, Turkey</t>
  </si>
  <si>
    <t>Ege University</t>
  </si>
  <si>
    <t>Bulat, FN (corresponding author), Ege Univ, Avlama &amp; Isleme Teknolojisi Bolumu, Su Urunleri Fak, TR-35100 Bornova, Turkey.</t>
  </si>
  <si>
    <t>nihanbulat@gmail.com</t>
  </si>
  <si>
    <t>BULAT, Fevziye Nihan/0000-0001-5165-3632</t>
  </si>
  <si>
    <t>EGE UNIV, FAC FISHERIES</t>
  </si>
  <si>
    <t>BORNOVA-IZMIR</t>
  </si>
  <si>
    <t>EGE UNIV, FAC FISHERIES, BORNOVA-IZMIR, 35100, TURKEY</t>
  </si>
  <si>
    <t>1300-1590</t>
  </si>
  <si>
    <t>2148-3140</t>
  </si>
  <si>
    <t>Su Urunleri Dergisi</t>
  </si>
  <si>
    <t>Fisheries; Marine &amp; Freshwater Biology</t>
  </si>
  <si>
    <t>PP3FA</t>
  </si>
  <si>
    <t>gold</t>
  </si>
  <si>
    <t>WOS:000605750900016</t>
  </si>
  <si>
    <t>Effectiveness of microplastics removal in wastewater treatment plants: A critical analysis of wastewater treatment processes</t>
  </si>
  <si>
    <t>Microplastics (MPs) are among the contaminants that have been of considerable concern in the last decade. One of the most significant contributors to MPs pollution in the environment is the effluent from wastewater treatment plants (WWTP). Previous studies showed that high MPs removal could be achieved in WWTPs. However, the parameters affecting MPs removal performances have not yet been analyzed for actual WWTPs. This review critically evaluates the physical, chemical, and biological treatment processes implemented in the actual WWTPs to remove MPs and summarizes the parameters affecting the removal. This work shows that applying physical, chemical and biological methods is promising: each can be implemented in WWTPs separately, and when combined, higher MPs removal rates are possible. The main parameters that affect the MPs removal are the initial MPs load to the WWTPs and the retention time of MPs in the operational units. MP removal is mainly observed via the physical sedimentation process, which leads MPs to accumulate in wastewater sludge; hence treatment parameters and possibilities of extracting MPs from sludge should be considered to prevent release of MPs from the WWTPs to the environment. The main limitation of MP dissapearance estimation in WWTPs is the lack of a standard MP analysis procedure, which prevents a clear comparison between MP species identification, characterization, and separation. More parameters could be linked to the MPs removal if more consistent and standardized data were obtained from the WWTPs.</t>
  </si>
  <si>
    <t>10.1016/j.jece.2022.107831</t>
  </si>
  <si>
    <t>Kurt, Z; Ozdemir, I; James, RAM</t>
  </si>
  <si>
    <t>Kurt, Zohre; Ozdemir, Irmak; James, R. Arthur M.</t>
  </si>
  <si>
    <t>JOURNAL OF ENVIRONMENTAL CHEMICAL ENGINEERING</t>
  </si>
  <si>
    <t>Microplastic retention; Microplastic removal; WWTP processes; Microplastic load</t>
  </si>
  <si>
    <t>ACTIVATED-SLUDGE PROCESS; MARINE-ENVIRONMENT; POLYETHYLENE MICROPLASTICS; PLASTIC DEBRIS; FATE; IDENTIFICATION; QUANTIFICATION; ACCUMULATION; NANOPLASTICS; DEGRADATION</t>
  </si>
  <si>
    <t>[Kurt, Zohre; Ozdemir, Irmak] Middle East Tech Univ, Dept Environm Engn, TR-06800 Ankara, Turkey; [Kurt, Zohre; James, R. Arthur M.] SENACYT, Sistema Nacl Invest, Edificio 205, Clayton, Panama; [James, R. Arthur M.] Univ Tecnol Panama, Dept Mech Engn, Apartado, 0819-07289 El Dorado, Panama City, Panama</t>
  </si>
  <si>
    <t>Middle East Technical University; Secretaria Nacional de Ciencia, Tecnologia e Innovacin (SENACYT); Universidad Tecnologica de Panama</t>
  </si>
  <si>
    <t>Kurt, Z (corresponding author), Middle East Tech Univ, Dept Environm Engn, TR-06800 Ankara, Turkey.;Kurt, Z (corresponding author), SENACYT, Sistema Nacl Invest, Edificio 205, Clayton, Panama.</t>
  </si>
  <si>
    <t>zkurt@metu.edu.tr</t>
  </si>
  <si>
    <t>James Rivas, Arthur/0000-0001-9120-1817; Ozdemir, Irmak/0000-0002-9789-8747; Kurt, Zohre/0000-0001-8862-5846</t>
  </si>
  <si>
    <t>Sistema Nacional de Investigacion (SNI) of the National Bureau of Science Technology and Innovation (SENACYT - in Spanish), Government of Panama; Science Academys Young Scientist Awards Program (BAGEP), Turkey, LOreal Women in Science, Turkey</t>
  </si>
  <si>
    <t>The authors thank the Sistema Nacional de Investigacion (SNI) of the National Bureau of Science Technology and Innovation (SENACYT - in Spanish), Government of Panama which supports research activities by Z.K., and A.J. A part of this research was supported by Science Academys Young Scientist Awards Program (BAGEP), Turkey, LOreal Women in Science, Turkey through awards received by Z.K</t>
  </si>
  <si>
    <t>2213-2929</t>
  </si>
  <si>
    <t>2213-3437</t>
  </si>
  <si>
    <t>J ENVIRON CHEM ENG</t>
  </si>
  <si>
    <t>J. Environ. Chem. Eng.</t>
  </si>
  <si>
    <t>JUN</t>
  </si>
  <si>
    <t>MAY 2022</t>
  </si>
  <si>
    <t>Engineering, Environmental; Engineering, Chemical</t>
  </si>
  <si>
    <t>Engineering</t>
  </si>
  <si>
    <t>1W1AV</t>
  </si>
  <si>
    <t>WOS:000806513400002</t>
  </si>
  <si>
    <t>Microfluidics as a Ray of Hope for Microplastic Pollution</t>
  </si>
  <si>
    <t>Microplastic (MP) pollution is rising at an alarming rate, imposing overwhelming problems for the ecosystem. The impact of MPs on life and environmental cycles has already reached a point of no return; yet global awareness of this issue and regulations regarding MP exposure could change this situation in favor of human health. Detection and separation methods for different MPs need to be deployed to achieve the goal of reversing the effect of MPs. Microfluidics is a well-established technology that enables to manipulate samples in microliter volumes in an unprecedented manner. Owing to its low cost, ease of operation, and high efficiency, microfluidics holds immense potential to tackle unmet challenges in MP. In this review, conventional MP detection and separation technologies are comprehensively reviewed, along with state-of-the-art examples of microfluidic platforms. In addition, we herein denote an insight into future directions for microfluidics and how this technology would provide a more efficient solution to potentially eradicate MP pollution.</t>
  </si>
  <si>
    <t>10.3390/bios13030332</t>
  </si>
  <si>
    <t>Ece, E; Haciosmanoglu, N; Inci, F</t>
  </si>
  <si>
    <t>Ece, Emre; Haciosmanoglu, Nedim; Inci, Fatih</t>
  </si>
  <si>
    <t>BIOSENSORS-BASEL</t>
  </si>
  <si>
    <t>microplastic pollution; microfluidics; separation; toxicity</t>
  </si>
  <si>
    <t>QUANTITATIVE H-1-NMR SPECTROSCOPY; ENVIRONMENTAL-SAMPLES; SIZE DISTRIBUTION; QUANTIFICATION; IDENTIFICATION; WATER; NANOPLASTICS; SEPARATION; ABUNDANCE; SEDIMENT</t>
  </si>
  <si>
    <t>[Ece, Emre; Haciosmanoglu, Nedim; Inci, Fatih] Bilkent Univ, UNAM Natl Nanotechnol Res Ctr, TR-06800 Ankara, Turkiye; [Ece, Emre; Haciosmanoglu, Nedim; Inci, Fatih] Bilkent Univ, Inst Mat Sci &amp; Nanotechnol, TR-06800 Ankara, Turkiye</t>
  </si>
  <si>
    <t>Ihsan Dogramaci Bilkent University; Ihsan Dogramaci Bilkent University</t>
  </si>
  <si>
    <t>Inci, F (corresponding author), Bilkent Univ, UNAM Natl Nanotechnol Res Ctr, TR-06800 Ankara, Turkiye.;Inci, F (corresponding author), Bilkent Univ, Inst Mat Sci &amp; Nanotechnol, TR-06800 Ankara, Turkiye.</t>
  </si>
  <si>
    <t>finci@bilkent.edu.tr</t>
  </si>
  <si>
    <t>Inci, Fatih/0000-0002-9918-5038</t>
  </si>
  <si>
    <t>Scientific and Technological Research Council of Turkey (TUEBITAK)-2232 International Fellowship for Outstanding Researchers [118C254]; Turkish Academy of Sciences-Outstanding Young Scientists Award Program (TUEBA-GEBIP); TUEBITAK 1001 Scientific and Technological Research Projects Funding Program [120Z445]; Science Academy-Young Scientist Awards Program (BAGEP)</t>
  </si>
  <si>
    <t>Scientific and Technological Research Council of Turkey (TUEBITAK)-2232 International Fellowship for Outstanding Researchers; Turkish Academy of Sciences-Outstanding Young Scientists Award Program (TUEBA-GEBIP); TUEBITAK 1001 Scientific and Technological Research Projects Funding Program; Science Academy-Young Scientist Awards Program (BAGEP)</t>
  </si>
  <si>
    <t>The Scientific and Technological Research Council of Turkey (TUEBITAK)-2232 International Fellowship for Outstanding Researchers (Project No: 118C254); Turkish Academy of Sciences-Outstanding Young Scientists Award Program (TUEBA-GEBIP); TUEBITAK 1001 Scientific and Technological Research Projects Funding Program (Project No: 120Z445); and Science Academy-Young Scientist Awards Program (BAGEP).</t>
  </si>
  <si>
    <t>2079-6374</t>
  </si>
  <si>
    <t>Biosensors-Basel</t>
  </si>
  <si>
    <t>MAR</t>
  </si>
  <si>
    <t>Chemistry, Analytical; Nanoscience &amp; Nanotechnology; Instruments &amp; Instrumentation</t>
  </si>
  <si>
    <t>Chemistry; Science &amp; Technology - Other Topics; Instruments &amp; Instrumentation</t>
  </si>
  <si>
    <t>A8DY0</t>
  </si>
  <si>
    <t>WOS:000957381000001</t>
  </si>
  <si>
    <t>Optimization of the textile wastewater pretreatment process in terms of organics removal and microplastic detection</t>
  </si>
  <si>
    <t>The textile industry, which offers innovative and diversified products to meet the rising demand, comes to the fore with the damage it causes to the environment. In the modern world, where synthetic fibers made from petroleum derivatives dominate the textile sector, it is evident that plastic wastes at macro, micro, and nano scales put the health of all living things at risk. The release of microplastics into the environment is significantly affected, especially from wastewater treatment plants. The primary goal of this study is to identify the most effective pretreatment approach for reducing organic matters in textile wastewater to in order to better detect microplastics and microfibers. For this, synthetic microfibers containing acrylic, polyester, and polyamide were put through various procedures using H2O2, Fenton's reagent, HCl, KOH, and NaOH under two different process conditions (25 degrees C for 5 days and 60 degrees C for 6 h). The outcomes revealed that H2O2 was the most efficient chemical for separating organic from textile wastewater, while KOH and NaOH resulted in physical and chemical damages for all polymer types. Although it was noted that HCl and Fenton's reagent did not affect other microfibers, they had been found to alter the physical structure of polyamide, making it more challenging to extract from wastewater. In addition, the use of heat had no further effect on the separation and merely served to speed up the procedure.</t>
  </si>
  <si>
    <t>10.1016/j.jclepro.2022.135637</t>
  </si>
  <si>
    <t>Akyildiz, SH; Sezgin, H; Yalcin, B; Yalcin-Enis, I</t>
  </si>
  <si>
    <t>Akyildiz, Sinem Hazal; Sezgin, Hande; Yalcin, Bahattin; Yalcin-Enis, Ipek</t>
  </si>
  <si>
    <t>JOURNAL OF CLEANER PRODUCTION</t>
  </si>
  <si>
    <t>Textile wastewater; Wastewater pretreatment; Organic removal; Microplastic pollution; Microfibers</t>
  </si>
  <si>
    <t>TREATMENT PLANTS; EXTRACTION; PROTOCOL; DEGRADATION; DIGESTION; POLLUTION; SEDIMENT; DEBRIS; FENTON; FISH</t>
  </si>
  <si>
    <t>[Akyildiz, Sinem Hazal] Marmara Univ, Fac Technol, Text Engn Dept, ITAM, Istanbul, Turkiye; [Sezgin, Hande; Yalcin-Enis, Ipek] Istanbul Tech Univ, Text Technol &amp; Design Fac, Text Engn Dept, Istanbul, Turkiye; [Yalcin, Bahattin] Marmara Univ, Fac Arts &amp; Sci, Chem Dept, Istanbul, Turkiye</t>
  </si>
  <si>
    <t>Marmara University; Istanbul Technical University; Marmara University</t>
  </si>
  <si>
    <t>Akyildiz, SH (corresponding author), Marmara Univ, Fac Technol, Text Engn Dept, ITAM, Istanbul, Turkiye.</t>
  </si>
  <si>
    <t>sinem.akyildiz@marmara.edu.tr</t>
  </si>
  <si>
    <t>Istanbul Technical University Scien-tific Research Projects Fund;  [BAP 43387]</t>
  </si>
  <si>
    <t xml:space="preserve">Istanbul Technical University Scien-tific Research Projects Fund(Istanbul Technical University); </t>
  </si>
  <si>
    <t>Acknowledgements This study is supported by the Istanbul Technical University Scien-tific Research Projects Fund under grant no. BAP 43387.</t>
  </si>
  <si>
    <t>0959-6526</t>
  </si>
  <si>
    <t>1879-1786</t>
  </si>
  <si>
    <t>J CLEAN PROD</t>
  </si>
  <si>
    <t>J. Clean Prod.</t>
  </si>
  <si>
    <t>JAN 15</t>
  </si>
  <si>
    <t>DEC 2022</t>
  </si>
  <si>
    <t>Green &amp; Sustainable Science &amp; Technology; Engineering, Environmental; Environmental Sciences</t>
  </si>
  <si>
    <t>Science &amp; Technology - Other Topics; Engineering; Environmental Sciences &amp; Ecology</t>
  </si>
  <si>
    <t>L6FW2</t>
  </si>
  <si>
    <t>WOS:001024211600001</t>
  </si>
  <si>
    <t>Sampling, pre-treatment, and identification methods of microplastics in sewage sludge and their effects in agricultural soils: a review</t>
  </si>
  <si>
    <t>Microplastics are widely detected in wastewater treatment plants. They can remove microplastics from wastewaters with a high yield, but it means that microplastics are transferred and accumulated to sewage sludge. Lately, increasing attention has been paid to microplastics in raw and treated wastewaters. However, studies about quantification and identification of microplastics in sewage sludge are very scarce and need to be further investigated. Since the sludge-based microplastics are newly studied and are a challenging matrix due to high organic content, there is limited knowledge of sampling, pre-treatment methods, identification techniques, and expression units. Besides, treated sewage sludge is mostly used for soil amendment to improve soil fertility and it gives economic advantages. This situation creates a pathway for microplastics entering the soil environment with unknown consequences. To the best of our knowledge, microplastics have a large specific surface area, small size, and hydrophobicity which makes it a good adsorbent for other pollutants. Therefore, the combined effect of microplastics with adsorbed pollutants such as heavy metals, antibiotics, and persistent organic pollutants could give serious harm to soil safety and soil organisms. Herein, new developments in the methods for sampling, pre-treatment, and identification techniques of microplastics in sewage sludge were reviewed. Then, the abundance of microplastics, major polymer types, and shapes in sewage sludge were examined. Finally, the effects and ecological risks of microplastic pollution as a result of agricultural usage of sewage sludge in the soil environment have been summarized. Also, the main points for future research were highlighted.</t>
  </si>
  <si>
    <t>10.1007/s10661-021-08943-0</t>
  </si>
  <si>
    <t>Koyuncuoglu, P; Erden, G</t>
  </si>
  <si>
    <t>Koyuncuoglu, Pelin; Erden, Gulbin</t>
  </si>
  <si>
    <t>ENVIRONMENTAL MONITORING AND ASSESSMENT</t>
  </si>
  <si>
    <t>Microplastic pollution; Wastewater treatment plants; Sewage sludge; Identification; Biosolids; Agricultural soil</t>
  </si>
  <si>
    <t>WATER TREATMENT PLANTS; WASTE-WATER; SIZED MICROPLASTICS; MARINE-ENVIRONMENT; SURFACE WATERS; FRESH-WATERS; POLLUTION; FATE; QUANTIFICATION; PLASTICS</t>
  </si>
  <si>
    <t>[Koyuncuoglu, Pelin; Erden, Gulbin] Pamukkale Univ, Environm Engn Dept, Engn Fac, Kinikli Campus, TR-20160 Denizli, Turkey</t>
  </si>
  <si>
    <t>Pamukkale University</t>
  </si>
  <si>
    <t>Koyuncuoglu, P (corresponding author), Pamukkale Univ, Environm Engn Dept, Engn Fac, Kinikli Campus, TR-20160 Denizli, Turkey.</t>
  </si>
  <si>
    <t>palicanoglu@pau.edu.tr</t>
  </si>
  <si>
    <t>Koyuncuoğlu, Pelin/AAB-2032-2022</t>
  </si>
  <si>
    <t>Pamukkale University Scientific Research Project [2019FEBE009]</t>
  </si>
  <si>
    <t>Pamukkale University Scientific Research Project(Pamukkale University)</t>
  </si>
  <si>
    <t>This work was supported by the Pamukkale University Scientific Research Project (2019FEBE009).</t>
  </si>
  <si>
    <t>0167-6369</t>
  </si>
  <si>
    <t>1573-2959</t>
  </si>
  <si>
    <t>ENVIRON MONIT ASSESS</t>
  </si>
  <si>
    <t>Environ. Monit. Assess.</t>
  </si>
  <si>
    <t>MAR 10</t>
  </si>
  <si>
    <t>QV3CQ</t>
  </si>
  <si>
    <t>WOS:000627853700002</t>
  </si>
  <si>
    <t>Tiny, shiny, and colorful microplastics: Are regular glitters a significant source of microplastics?</t>
  </si>
  <si>
    <t>Used in significant volumes in make-up, craft activities, and -more recently- in textile products, glitters are among single-use plastics, and are often made of polyethylene terephthalate. Even though a wealth of studies focus on the sources of microplastics in the environment and biota, glitters produced in various countries, and used extensively in entertainment events, shows and carnivals around the globe, not to mention by virtually anyone in daily life settings, have been relatively ignored as a major source of microplastics. That is why the present study focuses specifically on plastic glitters, and attempts to track them in the environment, in a manner comparable to their use in forensic science where glitters are often used as trace evidence associating a suspect with a specific murder case. Doing so led to various pieces of evidence of the presence of glitters -arguably a stealthy source of microplastics - in samples taken from the environment at a wide range of locations around the world.</t>
  </si>
  <si>
    <t>10.1016/j.marpolbul.2019.07.009</t>
  </si>
  <si>
    <t>Yurtsever, M</t>
  </si>
  <si>
    <t>Yurtsever, Meral</t>
  </si>
  <si>
    <t>MARINE POLLUTION BULLETIN</t>
  </si>
  <si>
    <t>Glitter; Single-use; Stealth microplastic; Nanoplastic; Evidence</t>
  </si>
  <si>
    <t>MARINE; MICROBEADS; POLLUTION; IMPACTS; HEALTH</t>
  </si>
  <si>
    <t>[Yurtsever, Meral] Sakarya Univ, Dept Environm Engn, TR-54187 Sakarya, Turkey</t>
  </si>
  <si>
    <t>Sakarya University</t>
  </si>
  <si>
    <t>Yurtsever, M (corresponding author), Sakarya Univ, Dept Environm Engn, TR-54187 Sakarya, Turkey.</t>
  </si>
  <si>
    <t>mevci@sakarya.edu.tr</t>
  </si>
  <si>
    <t>Yurtsever, Meral/GYU-5307-2022</t>
  </si>
  <si>
    <t>Yurtsever, Meral/0000-0002-7965-1919</t>
  </si>
  <si>
    <t>Scientific and Technological Research Council of Turkey (TUBITAK) [115Y303]</t>
  </si>
  <si>
    <t>Scientific and Technological Research Council of Turkey (TUBITAK)(Turkiye Bilimsel ve Teknolojik Arastirma Kurumu (TUBITAK))</t>
  </si>
  <si>
    <t>This study was supported by The Scientific and Technological Research Council of Turkey (TUBITAK-Project No.115Y303).</t>
  </si>
  <si>
    <t>0025-326X</t>
  </si>
  <si>
    <t>1879-3363</t>
  </si>
  <si>
    <t>MAR POLLUT BULL</t>
  </si>
  <si>
    <t>Mar. Pollut. Bull.</t>
  </si>
  <si>
    <t>SEP</t>
  </si>
  <si>
    <t>Environmental Sciences; Marine &amp; Freshwater Biology</t>
  </si>
  <si>
    <t>Environmental Sciences &amp; Ecology; Marine &amp; Freshwater Biology</t>
  </si>
  <si>
    <t>JC0VX</t>
  </si>
  <si>
    <t>WOS:000488999000078</t>
  </si>
  <si>
    <t>From Sampling to Analysis: A Critical Review of Techniques Used in the Detection of Micro- and Nanoplastics in Aquatic Environments</t>
  </si>
  <si>
    <t>Plastics could be one of the most important environmental problems our society will face this century. The continuous and increasing production of these synthetic materials and the lack of an appropriate plastic waste management approach are intensifying the plastic contamination of water bodies worldwide, as well as land and air. The fact that plastics break down into smaller particles (micro- and nanoplastics) by the action of physical and chemical reactions and do not degrade biologically is a cause of concern as plastics are believed to cause harm in animals, plants, and humans. From sampling to identification, several techniques have been developed to determine the type of plastics found in aquatic environments. Following the sampling process of a water body, using nets, pumps, or other devices, depending on the sample type, it is usually necessary to treat the samples for separation and purification purposes. The next step is the use of analytical methods to identify the synthetic pollutants. The most common approaches are microscopy, spectroscopy, and thermal analysis. This Review summarizes the most important technologies applied to analyze the importance of plastics as a contaminant in water bodies, offering an excellent compendium regarding the sampling, separation, purification, and identification of micro- and nanoplastics in aqueous samples, including an overview of notable articles that have utilized these approaches successfully.</t>
  </si>
  <si>
    <t>10.1021/acsestwater.0c00228</t>
  </si>
  <si>
    <t>Delgado-Gallardo, J; Sullivan, GL; Esteban, P; Wang, ZY; Arar, O; Li, ZY; Watson, TM; Sarp, S</t>
  </si>
  <si>
    <t>Delgado-Gallardo, Javier; Sullivan, Geraint L.; Esteban, Peter; Wang, Ziyan; Arar, Ozgur; Li, Zhenyu; Watson, Trystan M.; Sarp, Sarper</t>
  </si>
  <si>
    <t>ACS ES&amp;T WATER</t>
  </si>
  <si>
    <t>WATER TREATMENT PLANTS; MICROPLASTIC PARTICLES; NILE RED; MONITORING MICROPLASTICS; IDENTIFICATION METHODS; INFRARED-SPECTROSCOPY; THERMAL-DEGRADATION; RAMAN-SPECTROSCOPY; PLASTIC LITTER; FRESH-WATER</t>
  </si>
  <si>
    <t>[Delgado-Gallardo, Javier; Sarp, Sarper] Swansea Univ, SPEC, Chem Engn, Swansea SA2 8PP, W Glam, Wales; [Sullivan, Geraint L.; Watson, Trystan M.] East Swansea Univ, SPECFIC, Engn, Swansea SA2 8PP, W Glam, Wales; [Esteban, Peter] Swansea Univ, Coll Engn, Swansea SA2 8PP, W Glam, Wales; [Wang, Ziyan] Northwest A&amp;F Univ, Coll Innovat &amp; Expt, Yagling 712100, Shaanxi, Peoples R China; [Arar, Ozgur] Ege Univ, Chem Dept, TR-35040 Izmir, Turkey; [Li, Zhenyu] Northwest A&amp;F Univ, Coll Food Sci &amp; Engn, Yagling 712100, Shaanxi, Peoples R China</t>
  </si>
  <si>
    <t>Swansea University; Swansea University; Northwest A&amp;F University - China; Ege University; Northwest A&amp;F University - China</t>
  </si>
  <si>
    <t>Sarp, S (corresponding author), Swansea Univ, SPEC, Chem Engn, Swansea SA2 8PP, W Glam, Wales.</t>
  </si>
  <si>
    <t>sarper.sarp@swansea.ac.uk</t>
  </si>
  <si>
    <t>Sarp, Sarper/ABF-8412-2021; arar, ozgur/I-7068-2012; Li, Zhenyu/HGD-0214-2022; Wang, Ziyan/HII-8458-2022; arar, ozgur OA/G-9414-2016; Watson, Trystan/G-3084-2010</t>
  </si>
  <si>
    <t>arar, ozgur/0000-0002-3687-9534; arar, ozgur OA/0000-0002-3687-9534; Watson, Trystan/0000-0002-8015-1436; Delgado Gallardo, Javier/0000-0003-2686-933X; Sullivan, Geraint/0000-0002-3370-2768; Sarp, Sarper/0000-0003-3866-1026</t>
  </si>
  <si>
    <t>EPSRC [EP/N020863/1]; Swansea CoE [EP/R51312X/1]; EPSRC; EPSRC [EP/N020863/1] Funding Source: UKRI</t>
  </si>
  <si>
    <t>EPSRC(UK Research &amp; Innovation (UKRI)Engineering &amp; Physical Sciences Research Council (EPSRC)); Swansea CoE; EPSRC(UK Research &amp; Innovation (UKRI)Engineering &amp; Physical Sciences Research Council (EPSRC)); EPSRC(UK Research &amp; Innovation (UKRI)Engineering &amp; Physical Sciences Research Council (EPSRC))</t>
  </si>
  <si>
    <t>The authors acknowledge grant support from EPSRC and Swansea CoE for J.D.-G. (EP/R51312X/1) and EPSRC for G.L.S. (EP/N020863/1).</t>
  </si>
  <si>
    <t>AMER CHEMICAL SOC</t>
  </si>
  <si>
    <t>WASHINGTON</t>
  </si>
  <si>
    <t>1155 16TH ST, NW, WASHINGTON, DC 20036 USA</t>
  </si>
  <si>
    <t>2690-0637</t>
  </si>
  <si>
    <t>ACS EST WATER</t>
  </si>
  <si>
    <t>ACS ES&amp;T Wat.</t>
  </si>
  <si>
    <t>APR 9</t>
  </si>
  <si>
    <t>FEB 2021</t>
  </si>
  <si>
    <t>Environmental Sciences; Water Resources</t>
  </si>
  <si>
    <t>Environmental Sciences &amp; Ecology; Water Resources</t>
  </si>
  <si>
    <t>SH4RQ</t>
  </si>
  <si>
    <t>WOS:000654124800002</t>
  </si>
  <si>
    <t>Freshwater plastic pollution: Recognizing research biases and identifying knowledge gaps</t>
  </si>
  <si>
    <t>The overwhelming majority of research conducted to date on plastic pollution (all size fractions) has focused on marine ecosystems. In comparison, only a few studies provide evidence for the presence of plastic debris in freshwater environments. However, owing to the numerous differences between freshwater studies (including studied species and habitats, geographical locations, social and economic contexts, the type of data obtained and also the broad range of purposes), they show only fragments of the overall picture of freshwater plastic pollution. This highlights the lack of a holistic vision and evidences several knowledge gaps and data biases. Through a bibliometric analysis we identified such knowledge gaps, inconsistencies and survey trends of plastic pollution research within freshwater ecosystems. We conclude that there is a continued need to increase the field-data bases about plastics (all size fractions) in freshwater environments. This is particularly important to estimate river plastic emissions to the world's oceans. Accordingly, data about macroplastics from most polluted and larger rivers are very scarce, although macroplastics represent a huge input in terms of plastics weight. In addition, submerged macroplastics may play an important role in transporting mismanaged plastic waste, however almost no studies exist. Although many of the most plastic polluted rivers are in Asia, only 14% of the reviewed studies were carried out in this continent (even though the major inland fisheries of the world are located in Asia's rivers). The potential damage caused by macroplastics on a wide range of freshwater fauna is as yet undetermined, even though negative impacts have been well documented in similar marine species. We also noted a clear supremacy of microplastic studies over macroplastic ones, even though there is no reason to assume that freshwater ecosystems remain unaffected by macro-debris. Finally, we recommend focusing monitoring efforts in most polluted rivers worldwide, but particularly in countries with rapid economic development and poor waste management. (C) 2018 Elsevier Ltd. All rights reserved.</t>
  </si>
  <si>
    <t>10.1016/j.watres.2018.06.015</t>
  </si>
  <si>
    <t>Blettler, MCM; Abrial, E; Khan, FR; Sivri, N; Espinola, LA</t>
  </si>
  <si>
    <t>Blettler, Martin C. M.; Abrial, Elie; Khan, Farhan R.; Sivri, Nuket; Espinola, Luis A.</t>
  </si>
  <si>
    <t>WATER RESEARCH</t>
  </si>
  <si>
    <t>Plastic pollution; Freshwater environment; Macroplastic; Developing country; Endangered fauna</t>
  </si>
  <si>
    <t>SOLID-WASTE MANAGEMENT; ANTHROPOGENIC DEBRIS; SPATIAL-DISTRIBUTION; 1ST EVIDENCE; FISH LARVAE; MICROPLASTICS; RIVER; INGESTION; ESTUARY; LAKES</t>
  </si>
  <si>
    <t>[Blettler, Martin C. M.; Abrial, Elie; Espinola, Luis A.] Inst Nacl Limnol INALI, Ciudad Univ, RA-3000 Santa Fe, Argentina; [Blettler, Martin C. M.; Abrial, Elie; Espinola, Luis A.] CONICET UNL, Ciudad Univ, RA-3000 Santa Fe, Argentina; [Khan, Farhan R.] Roskilde Univ, Dept Sci &amp; Environm, Univ Vej 1,POB 260, DK-4000 Roskilde, Denmark; [Sivri, Nuket] Istanbul Univ, Cerrahpasa Engn Fac, Dept Environm Engn, TR-34320 Istanbul, Turkey</t>
  </si>
  <si>
    <t>Consejo Nacional de Investigaciones Cientificas y Tecnicas (CONICET); National University of the Littoral; Roskilde University; Istanbul University; Istanbul University - Cerrahpasa</t>
  </si>
  <si>
    <t>Blettler, MCM (corresponding author), Inst Nacl Limnol INALI, Ciudad Univ, RA-3000 Santa Fe, Argentina.;Blettler, MCM (corresponding author), CONICET UNL, Ciudad Univ, RA-3000 Santa Fe, Argentina.</t>
  </si>
  <si>
    <t>mblettler@inali.unl.edu.ar</t>
  </si>
  <si>
    <t>Sivri, Nuket/AFM-4107-2022; Sivri, Nuket/D-5024-2019; Khan, Farhan/J-4316-2016; Blettler, Martin/K-3795-2017</t>
  </si>
  <si>
    <t>Sivri, Nuket/0000-0002-4269-5950; Sivri, Nuket/0000-0002-4269-5950; Khan, Farhan/0000-0002-9251-2972; Blettler, Martin/0000-0001-5837-5241</t>
  </si>
  <si>
    <t>Rufford Foundation grant, UK (RSG grant) [21232-1]</t>
  </si>
  <si>
    <t>Rufford Foundation grant, UK (RSG grant)</t>
  </si>
  <si>
    <t>We thank the anonymous reviewers for their careful reading of our manuscript and their many insightful comments and suggestions. This study was performed in the context of the Rufford Foundation grant, UK (RSG grant; Ref: 21232-1).</t>
  </si>
  <si>
    <t>0043-1354</t>
  </si>
  <si>
    <t>WATER RES</t>
  </si>
  <si>
    <t>Water Res.</t>
  </si>
  <si>
    <t>OCT 15</t>
  </si>
  <si>
    <t>Engineering, Environmental; Environmental Sciences; Water Resources</t>
  </si>
  <si>
    <t>Engineering; Environmental Sciences &amp; Ecology; Water Resources</t>
  </si>
  <si>
    <t>GS4YO</t>
  </si>
  <si>
    <t>Green Submitted</t>
  </si>
  <si>
    <t>WOS:000443664000040</t>
  </si>
  <si>
    <t>Glitters as a Source of Primary Microplastics: An Approach to Environmental Responsibility and Ethics</t>
  </si>
  <si>
    <t>This paper is about glitters, one of the sources of primary microplastics, which, in turn, are deemed an emerging source of pollutants affecting the environment. Today, most glitters available on the market are essentially microplastics, as they are made of polyesters and are of a size smaller than 5mm. The tiny, shiny, decorative and colorful glitters are used in a wide range of products including but not limited to make-up or craft materials, clothing, shoes, bags, ornaments, and various objects. The marketing of micron-sized plastic materials, the environmental risks of which are no longer disputable, as disposable products clearly merits attention. People without substantial knowledge or awareness about microplastics pollution and sources thereof have been consuming these glitter products without giving it a second thought. Given their tasteless, odourless, invisible, durable, and last but certainly not least, ubiquitous characteristics, small microplastics nowadays came to pose a substantial threat for the environment and the biota, as a sneaky and persistent contaminant. Microplastic pollution is a completely anthropogenic one. In this context, the consumers should assume a careful and sensible attitude, and question all their consumption habits. On the other hand, the responsibilities of the manufacturers and regulators are also substantial. For, in the lack of any regulation or sanctions in the context of laws and legislation concerning a global problem, and in a context of scarce awareness on part of the society, the people would continue to buy and consume plastic products like glitters without really thinking about them, for as long as they are supplied to the market.</t>
  </si>
  <si>
    <t>10.1007/s10806-019-09785-0</t>
  </si>
  <si>
    <t>JOURNAL OF AGRICULTURAL &amp; ENVIRONMENTAL ETHICS</t>
  </si>
  <si>
    <t>Glitter; Microplastics; Pollution; Single-use plastics; Consumption</t>
  </si>
  <si>
    <t>MARINE; POLLUTION; PLASTICS; FATE; BIOACCUMULATION; MICRORUBBERS; ZOOPLANKTON; PERCEPTIONS; MICROBEADS; PARTICLES</t>
  </si>
  <si>
    <t>[Yurtsever, Meral] Sakarya Univ, Environm Engn Dept, Sakarya, Turkey</t>
  </si>
  <si>
    <t>Yurtsever, M (corresponding author), Sakarya Univ, Environm Engn Dept, Sakarya, Turkey.</t>
  </si>
  <si>
    <t>This study was supported by The Scientific and Technological Research Council of Turkey (TUBITAK-Project No. 115Y303).</t>
  </si>
  <si>
    <t>1187-7863</t>
  </si>
  <si>
    <t>1573-322X</t>
  </si>
  <si>
    <t>J AGR ENVIRON ETHIC</t>
  </si>
  <si>
    <t>J. Agric. Environ. Ethics</t>
  </si>
  <si>
    <t>Agriculture, Multidisciplinary; Ethics; Environmental Sciences; History &amp; Philosophy Of Science</t>
  </si>
  <si>
    <t>Science Citation Index Expanded (SCI-EXPANDED); Social Science Citation Index (SSCI); Arts &amp;amp; Humanities Citation Index (A&amp;amp;HCI)</t>
  </si>
  <si>
    <t>Agriculture; Social Sciences - Other Topics; Environmental Sciences &amp; Ecology; History &amp; Philosophy of Science</t>
  </si>
  <si>
    <t>IH3TA</t>
  </si>
  <si>
    <t>WOS:000474414000008</t>
  </si>
  <si>
    <t>Plastic Pollution, Waste Management Issues, and Circular Economy Opportunities in Rural Communities</t>
  </si>
  <si>
    <t>Rural areas are exposed to severe environmental pollution issues fed by industrial and agricultural activities combined with poor waste and sanitation management practices, struggling to achieve the United Nations' Sustainable Development Goals (SDGs) in line with Agenda 2030. Rural communities are examined through a dual approach as both contributors and receivers of plastic pollution leakage into the natural environment (through the air-water-soil-biota nexus). Despite the emerging trend of plastic pollution research, in this paper, we identify few studies investigating rural communities. Therefore, proxy analysis of peer-reviewed literature is required to outline the significant gaps related to plastic pollution and plastic waste management issues in rural regions. This work focuses on key stages such as (i) plastic pollution effects on rural communities, (ii) plastic pollution generated by rural communities, (iii) the development of a rural waste management sector in low- and middle-income countries in line with the SDGs, and (iv) circular economy opportunities to reduce plastic pollution in rural areas. We conclude that rural communities must be involved in both future plastic pollution and circular economy research to help decision makers reduce environmental and public health threats, and to catalyze circular initiatives in rural areas around the world, including less developed communities.</t>
  </si>
  <si>
    <t>10.3390/su14010020</t>
  </si>
  <si>
    <t>Mihai, FC; Gundogdu, S; Markley, LA; Olivelli, A; Khan, FR; Gwinnett, C; Gutberlet, J; Reyna-Bensusan, N; Llanquileo-Melgarejo, P; Meidiana, C; Elagroudy, S; Ishchenko, V; Penney, S; Lenkiewicz, Z; Molinos-Senante, M</t>
  </si>
  <si>
    <t>Mihai, Florin-Constantin; Gundogdu, Sedat; Markley, Laura A.; Olivelli, Arianna; Khan, Farhan R.; Gwinnett, Claire; Gutberlet, Jutta; Reyna-Bensusan, Natalia; Llanquileo-Melgarejo, Paula; Meidiana, Christia; Elagroudy, Sherien; Ishchenko, Vitalii; Penney, Simon; Lenkiewicz, Zoe; Molinos-Senante, Maria</t>
  </si>
  <si>
    <t>SUSTAINABILITY</t>
  </si>
  <si>
    <t>plastic pollution; waste management; circular economy; rural areas; Sustainable Development Goals (SDGs); microplastics; macroplastics; open burning; illegal dumping</t>
  </si>
  <si>
    <t>MUNICIPAL SOLID-WASTE; ISLAND DEVELOPING STATES; MICROPLASTIC POLLUTION; MARINE DEBRIS; SUSTAINABLE DEVELOPMENT; DEVELOPING-COUNTRIES; TOURISM REVENUE; SOIL; GENERATION; CHALLENGES</t>
  </si>
  <si>
    <t>[Mihai, Florin-Constantin] Alexandru Ioan Cuza Univ, Inst Interdisciplinary Res, CERNESIM Ctr, Dept Exact Sci &amp; Nat Sci, Iasi 700506, Romania; [Gundogdu, Sedat] Cukurova Univ, Fac Fisheries, Dept Basic Sci, TR-01330 Adana, Turkey; [Markley, Laura A.] Syracuse Univ, Dept Civil &amp; Environm Engn, Syracuse, NY 13244 USA; [Olivelli, Arianna] Imperial Coll London, Dept Earth Sci &amp; Engn, London SW7 2AZ, England; [Olivelli, Arianna] Oceans &amp; Atmosphere Commonwealth Sci &amp; Ind Res Or, Hobart, Tas 7004, Australia; [Khan, Farhan R.] Norwegian Res Ctr NORCE, Nygardsporten 112, NO-5008 Bergen, Norway; [Gwinnett, Claire] Staffordshire Univ, Criminal Justice &amp; Forens Sci Dept, Stoke On Trent ST4 2DE, Staffs, England; [Gutberlet, Jutta] Univ Victoria, Ctr Global Studies, Dept Geog, POB 3060 STN CSC, Victoria, BC V8W 3R4, Canada; [Reyna-Bensusan, Natalia] Air Qual Consultants Ltd, Logika Grp, London EC1N 822, England; [Llanquileo-Melgarejo, Paula; Molinos-Senante, Maria] Pontificia Univ Catolica Chile, Dept Ingn Hidraul &amp; Ambiental, Av Vicuna Mackenna, Santiago 4860, Chile; [Meidiana, Christia] Brawijaya Univ, Fac Engn, Dept Reg &amp; Urban Planning, Malang 65145, Indonesia; [Elagroudy, Sherien] Ain Shams Univ, Egypt Solid Waste Management Ctr Excellence, Cairo 11566, Egypt; [Ishchenko, Vitalii] Vinnytsia Natl Syst Univ, Dept Ecol &amp; Environm Safety, UA-21021 Vinnytsia, Ukraine; [Penney, Simon] Isl Waste Management Global Alliance, Odessa, ON K0H 2H0, Canada; [Lenkiewicz, Zoe] WasteAid, Wye TN25 5BL, England</t>
  </si>
  <si>
    <t>Alexandru Ioan Cuza University; Cukurova University; Syracuse University; Imperial College London; Norwegian Research Centre (NORCE); Staffordshire University; University of Victoria; Pontificia Universidad Catolica de Chile; Brawijaya University; Egyptian Knowledge Bank (EKB); Ain Shams University</t>
  </si>
  <si>
    <t>Mihai, FC (corresponding author), Alexandru Ioan Cuza Univ, Inst Interdisciplinary Res, CERNESIM Ctr, Dept Exact Sci &amp; Nat Sci, Iasi 700506, Romania.</t>
  </si>
  <si>
    <t>mihai.florinconstantin@gmail.com; sgundogdu@cu.edu.tr; lamarkle@syr.edu; a.olivelli21@imperial.ac.uk; fakh@norceresearch.no; c.gwinnett@staffs.ac.uk; gutber@uvic.ca; natreyna@gmail.com; pillanquileo@uc.cl; c_meideiana@ub.ac.id; shereen_23@hotmail.com; ischenko.v.a@vntu.edu.ua; iwmga2020@gmail.com; zoe.lenkiewicz@wasteaid.org; mmolinos@uc.cl</t>
  </si>
  <si>
    <t>Molinos-Senante, Maria/A-8523-2016; Gündoğdu, Sedat/B-4475-2018; Molinos-Senante, Maria/IVH-9831-2023; MIHAI, Florin C/F-2995-2014; Ishchenko, Vitalii A./E-8369-2016; Elagroudy, Sherien/AFR-6287-2022; Khan, Farhan/J-4316-2016</t>
  </si>
  <si>
    <t>Molinos-Senante, Maria/0000-0002-6689-6861; Gündoğdu, Sedat/0000-0002-4415-2837; MIHAI, Florin C/0000-0002-1428-1021; Ishchenko, Vitalii A./0000-0002-8464-1096; Elagroudy, Sherien/0000-0003-4737-7684; Olivelli, Arianna/0000-0003-1068-4429; Meidiana, Christia/0000-0001-8416-2266; Khan, Farhan/0000-0002-9251-2972; Llanquileo Melgarejo, Paula/0000-0002-0077-1644; Reyna-Bensusan, Natalia/0000-0003-4199-7372; Gutberlet, Jutta/0000-0003-4602-1483; Markley, Laura/0000-0003-0620-8366</t>
  </si>
  <si>
    <t>2071-1050</t>
  </si>
  <si>
    <t>SUSTAINABILITY-BASEL</t>
  </si>
  <si>
    <t>Sustainability</t>
  </si>
  <si>
    <t>JAN</t>
  </si>
  <si>
    <t>Green &amp; Sustainable Science &amp; Technology; Environmental Sciences; Environmental Studies</t>
  </si>
  <si>
    <t>Science Citation Index Expanded (SCI-EXPANDED); Social Science Citation Index (SSCI)</t>
  </si>
  <si>
    <t>Science &amp; Technology - Other Topics; Environmental Sciences &amp; Ecology</t>
  </si>
  <si>
    <t>YT1WJ</t>
  </si>
  <si>
    <t>Green Published, Green Accepted, gold</t>
  </si>
  <si>
    <t>WOS:000751157400001</t>
  </si>
  <si>
    <t>Perspectives and challenges of implementation of Regional Action Plan on Marine Litter Management in the Black Sea</t>
  </si>
  <si>
    <t>This paper will consider the challenges and legal gaps in the implementation of relevant provisions of the Regional Action Plan on Marine Litter Management in the Black Sea, adopted in 2018 by the Commission on the Protection of the Black Sea Against Pollution (BSC) and other relevant marine litter related documents. It will also provide some concrete recommendations on improving the implementation of BS ML RAP and achieving of good environmental status (GES) in the Black Sea basin as regards to marine litter and plastics. As indicates the recent report on the State of the Black Sea Environment, marine litter makes the Black Sea a particularly sensitive area for marine litter pollution and a microplastic hot spot. There is no doubt that marine litter becomes one of the main pollution problem along the coasts of the Black Sea, the sea itself and its bottom. There are more and more acknowledgments about contamination of leaving resources by plastics; therefore, marine litter is no longer an aesthetic problem, but seriously damages the living organisms and threatening the biodiversity of the Black Sea. At the same time, despite all the problems listed above, there is still very limited data on amounts of marine litter in the Black Sea and poor monitoring activities; the results of the local surveys (few national and couple of regional surveys implemented within dedicated marine litter projects) show that disposable packaging and short life or even single use plastic goods (like bottles, cans, caps) are predominant; the sources mostly are municipal waste/sewage, badly managed landfills, marine transport and ports, recreational activities in coastal areas, illegal and unreported fishing activities. Therefore, considering that marine litter is to a large extent cross-cutting and a transboundary issue, mostly due to enclosed sea basin and dynamic current system of the Black Sea, it must be further coordinated and addressed on the regional or sub-basin level.</t>
  </si>
  <si>
    <t>Makarenko, I</t>
  </si>
  <si>
    <t>Makarenko, Iryna</t>
  </si>
  <si>
    <t>Marine litter; Bucharest Convention; Black Sea; Regional Action Plan; management measures; ecosystem approach; descriptors; ecosystem quality objectives</t>
  </si>
  <si>
    <t>[Makarenko, Iryna] LLM Permanent Secretariat Commiss Protect Black S, Istanbul, Turkey</t>
  </si>
  <si>
    <t>Makarenko, I (corresponding author), LLM Permanent Secretariat Commiss Protect Black S, Istanbul, Turkey.</t>
  </si>
  <si>
    <t>irina.makarenko@blacksea-commission.org</t>
  </si>
  <si>
    <t>WOS:000637180200028</t>
  </si>
  <si>
    <t>Co-occurence of antibiotics and micro(nano)plastics: a systematic review between 2016-2021</t>
  </si>
  <si>
    <t>Pollution by plastics and antibiotics are emerging issues in the areas of the environment and human health. In recent years, several studies have documented the widespread occurrence of plastic particles in various environmental, as well as human, systems, and much research has focused on possible interactions of contaminants with microplastics. Thus, the co-occurrence of plastics and antibiotics has caused another global problem for the environment and human health. Therefore, we focused on the current knowledge in the field of the co-occurrence of plastics and antibiotics to summarize the available studies. In this review, categorization of the topics, contaminants details, such as polymer type, size and source, antibiotic type, and other experimental parameters were summarized and discussed. This study indicated that the sorption of antibiotics on plastics, antibiotic susceptibility in the presence of plastics, and antibiotic resistance gene onto plastics were the most frequently examined categories in this field. Moreover, the variability in the procedures and the processes, and the heterogeneity data of reporting between different studies on similar topic make it difficult to bring all results together and produce a comprehensive picture of the current knowledge. Therefore, it is suggested that further research should be done using this systematic study.</t>
  </si>
  <si>
    <t>10.1080/10934529.2022.2082222</t>
  </si>
  <si>
    <t>Baysal, A; Saygin, H</t>
  </si>
  <si>
    <t>Baysal, Asli; Saygin, Hasan</t>
  </si>
  <si>
    <t>JOURNAL OF ENVIRONMENTAL SCIENCE AND HEALTH PART A-TOXIC/HAZARDOUS SUBSTANCES &amp; ENVIRONMENTAL ENGINEERING</t>
  </si>
  <si>
    <t>microplastics; nanoplastics; antibiotics; sorption; antibiotic resistance genes; toxicity</t>
  </si>
  <si>
    <t>MARINE-ENVIRONMENT; MICROPLASTICS; TETRACYCLINE; SORPTION; ADSORPTION; WATER</t>
  </si>
  <si>
    <t>[Baysal, Asli] TC Istanbul Aydin Univ, Hlth Serv Vocat Sch Higher Educ, Istanbul, Turkey; [Saygin, Hasan] TC Istanbul Aydin Univ, Applicat &amp; Res Ctr Adv Studies, Istanbul, Turkey</t>
  </si>
  <si>
    <t>Istanbul Aydin University; Istanbul Aydin University</t>
  </si>
  <si>
    <t>Baysal, A (corresponding author), TC Istanbul Aydin Univ, Hlth Serv Vocat Sch Higher Educ, Istanbul, Turkey.</t>
  </si>
  <si>
    <t>aslibaysal@aydin.edu.tr</t>
  </si>
  <si>
    <t>1093-4529</t>
  </si>
  <si>
    <t>1532-4117</t>
  </si>
  <si>
    <t>J ENVIRON SCI HEAL A</t>
  </si>
  <si>
    <t>J. Environ. Sci. Health Part A-Toxic/Hazard. Subst. Environ. Eng.</t>
  </si>
  <si>
    <t>JUL 22</t>
  </si>
  <si>
    <t>Engineering, Environmental; Environmental Sciences</t>
  </si>
  <si>
    <t>Engineering; Environmental Sciences &amp; Ecology</t>
  </si>
  <si>
    <t>3E8SQ</t>
  </si>
  <si>
    <t>WOS:000805749200001</t>
  </si>
  <si>
    <t>Abundance and characteristics of microplastics in drinking water treatment plants, distribution systems, water from refill kiosks, tap waters and bottled waters</t>
  </si>
  <si>
    <t>Limited research studies have revealed the presence of microplastics (MPs) of different polymer types, shapes, and sizes in drinking water sources, influents of drinking water treatment plants (DWTPs), effluents of DWTPs, tap water, and bottled water. Reviewing the available information on MP pollution in waters, which is becoming more worrying in correlation with the increasing plastic production in the world every year, is noteworthy for understanding the current situation, identifying the deficiencies in the studies, and taking the necessary measures for public health as soon as possible. Therefore, this paper, in which the abundance, characteristics, and removal efficiencies of MPs in the processes from raw water to tap water and/or bottled water are reviewed is a guide for dealing with MP pollution in drinking water. In this paper, firstly, the sources of MPs in raw waters are briefly reviewed. In addition, the abundance, and characteristics (polymer type, shape, and size) of MPs in influents and effluents of DWTPs in different countries are reviewed and the effects of treatment stages (coagulation, flocculation, sedimentation, sand filtration, disinfection, and membrane filtration) of DWTPs on MP removal efficiency and the factors that are effective in removal are discussed. Moreover, studies on the factors affecting MP release from drinking water distribution systems (DWDSs) to treated water and the abundance and characteristics of MPs in tap water, bottled water and water from refill kiosks are re-viewed. Finally, the deficiencies in the studies dealing with MPs in drinking water are identified and recommendations for future studies are presented.</t>
  </si>
  <si>
    <t>10.1016/j.scitotenv.2023.163866</t>
  </si>
  <si>
    <t>Acarer, S</t>
  </si>
  <si>
    <t>Acarer, Seren</t>
  </si>
  <si>
    <t>SCIENCE OF THE TOTAL ENVIRONMENT</t>
  </si>
  <si>
    <t>Microplastic; Drinking water treatment plant; Drinking water distribution system; Tap water; Bottled water; Removal efficiency</t>
  </si>
  <si>
    <t>MARINE-ENVIRONMENT; REMOVAL; POLLUTION; COAGULATION; PARTICLES; FATE</t>
  </si>
  <si>
    <t>[Acarer, Seren] Istanbul Univ Cerrahpasa, Fac Engn, Dept Environm Engn, TR-34320 I?stanbul, Turkiye</t>
  </si>
  <si>
    <t>Istanbul University - Cerrahpasa</t>
  </si>
  <si>
    <t>Acarer, S (corresponding author), Istanbul Univ Cerrahpasa, Fac Engn, Dept Environm Engn, TR-34320 I?stanbul, Turkiye.</t>
  </si>
  <si>
    <t>seren.acarer@ogr.iuc.edu.tr</t>
  </si>
  <si>
    <t>Acarer, Seren/ABF-6927-2021</t>
  </si>
  <si>
    <t>Acarer, Seren/0000-0001-6733-2067</t>
  </si>
  <si>
    <t>ELSEVIER</t>
  </si>
  <si>
    <t>AMSTERDAM</t>
  </si>
  <si>
    <t>RADARWEG 29, 1043 NX AMSTERDAM, NETHERLANDS</t>
  </si>
  <si>
    <t>0048-9697</t>
  </si>
  <si>
    <t>1879-1026</t>
  </si>
  <si>
    <t>SCI TOTAL ENVIRON</t>
  </si>
  <si>
    <t>Sci. Total Environ.</t>
  </si>
  <si>
    <t>AUG 1</t>
  </si>
  <si>
    <t>MAY 2023</t>
  </si>
  <si>
    <t>I9FE5</t>
  </si>
  <si>
    <t>WOS:001005757700001</t>
  </si>
  <si>
    <t>Microplastics in wastewater treatment plants: sources, properties, removal efficiency, removal mechanisms, and interactions with pollutants</t>
  </si>
  <si>
    <t>Since wastewater treatment plants (WWTPs) cannot completely remove microplastics (MPs) from wastewater, WWTPs are responsible for the release of millions of MPs into the environment even in 1 day. Therefore, knowing the sources, properties, removal efficiencies and removal mechanisms of MPs in WWTPs is of great importance for the management of MPs. In this paper, firstly the sources of MPs in WWTPs and the quantities and properties (polymer type, shape, size, and color) of MPs in influents, effluents, and sludges of WWTPs are presented. Following this, the MP removal efficiency of different treatment units (primary settling, flotation, biological treatment, secondary settling, filtration-based treatment technologies, and coagulation) in WWTPs is discussed. In the next section, details about MP removal mechanisms in critical treatment units (settling and flotation tanks, bioreactors, sand filters, membrane filters, and coagulation units) in WWTPs are given. In the last section, the mechanisms and factors that are effective in adsorbing organic-inorganic pollutants in wastewater to MPs are presented. Finally, the current situation and research gap in these areas are identified and suggestions are provided for topics that need further research in the future.</t>
  </si>
  <si>
    <t>10.2166/wst.2023.022</t>
  </si>
  <si>
    <t>WATER SCIENCE AND TECHNOLOGY</t>
  </si>
  <si>
    <t>mechanisms; microplastic; pollutant adsorption; sludge; wastewater; wastewater treatment plant</t>
  </si>
  <si>
    <t>ACTIVATED-SLUDGE PROCESS; ADSORPTION BEHAVIOR; FATE; PARTICLES; POLLUTION; IDENTIFICATION</t>
  </si>
  <si>
    <t>[Acarer, Seren] Istanbul Univ Cerrahpasa, Fac Engn, Environm Engn Dept, TR-34320 Istanbul, Turkey</t>
  </si>
  <si>
    <t>Acarer, S (corresponding author), Istanbul Univ Cerrahpasa, Fac Engn, Environm Engn Dept, TR-34320 Istanbul, Turkey.</t>
  </si>
  <si>
    <t>IWA PUBLISHING</t>
  </si>
  <si>
    <t>LONDON</t>
  </si>
  <si>
    <t>REPUBLIC-EXPORT BLDG, UNITS 1 04 &amp; 1 05, 1 CLOVE CRESCENT, LONDON, ENGLAND</t>
  </si>
  <si>
    <t>0273-1223</t>
  </si>
  <si>
    <t>1996-9732</t>
  </si>
  <si>
    <t>WATER SCI TECHNOL</t>
  </si>
  <si>
    <t>Water Sci. Technol.</t>
  </si>
  <si>
    <t>FEB 1</t>
  </si>
  <si>
    <t>JAN 2023</t>
  </si>
  <si>
    <t>8Q5DQ</t>
  </si>
  <si>
    <t>WOS:000924944400001</t>
  </si>
  <si>
    <t>Interaction of Plastics with Marine Species</t>
  </si>
  <si>
    <t>The plastic litter in the seas and oceans has become one of the major threats for environment and a wide range of marine species worldwide. Microplastics are the most common litters in the marine environment corresponding to 60-80% of the total litter in the world's seas. The risk factor of plastics is inversely associated with the size of the plastic. In the present study, we reviewed the state of knowledge regarding the impact of plastic pollution on marine environment and marine species, assessing the ingestion incidences, elimination of plastics, interactions of plastics with other pollutants, and effects on photosynthesis. Records of marine species ingesting plastic have increased and begin to attract considerable attention. Metadata generated from the review of related papers in the present study was used to evaluate the current knowledge on the plastic ingestion by different marine species. The retrieved data from reviewed articles revealed that the ingestion of plastic by marine animals have been documented in more than 560 species including fish, crustaceans, mammals, sea turtles, bivalves, gastropods even in sea stars and limpets. The size of ingested plastics varied from species to species generally depending on the feeding behavior. Microplastics showed the highest number of bibliographic citations in the plastic ingestion studies. They are mostly ingested by planktivorous and filter feeder species. Meso, macro, and occasionally megaplastics are reported in marine mammals and sea turtles since they often confuse plastic for their prey. The sensitivity and size of the detected plastics may vary based on the analytical plastic detection methods.</t>
  </si>
  <si>
    <t>10.4194/1303-2712-v20_8_07</t>
  </si>
  <si>
    <t>Ozturk, RC; Altinok, I</t>
  </si>
  <si>
    <t>Ozturk, Rafet Cagri; Altinok, Ilhan</t>
  </si>
  <si>
    <t>TURKISH JOURNAL OF FISHERIES AND AQUATIC SCIENCES</t>
  </si>
  <si>
    <t>Plastic pollution; Mesoplastics; Microplastics; Nanoplastics; Plastic ingestion; Metadata analysis</t>
  </si>
  <si>
    <t>MYTILUS-EDULIS L.; DEBRIS INGESTION; POLYSTYRENE MICROPLASTICS; GASTROINTESTINAL-TRACT; FISH LARVAE; SEA-TURTLES; ACCUMULATION; PARTICLES; NANOPLASTICS; NANOPARTICLES</t>
  </si>
  <si>
    <t>[Ozturk, Rafet Cagri; Altinok, Ilhan] Karadeniz Tech Univ, Dept Fisheries Technol Engn, TR-61530 Trabzon, Turkey</t>
  </si>
  <si>
    <t>Karadeniz Technical University</t>
  </si>
  <si>
    <t>Altinok, I (corresponding author), Karadeniz Tech Univ, Dept Fisheries Technol Engn, TR-61530 Trabzon, Turkey.</t>
  </si>
  <si>
    <t>ialtinok@ktu.edu.tr</t>
  </si>
  <si>
    <t>OZTURK, Rafet Cagri/Q-4121-2019; Altinok, ilhan/H-1558-2013</t>
  </si>
  <si>
    <t>OZTURK, Rafet Cagri/0000-0003-1785-4056; Altinok, ilhan/0000-0003-3475-521X</t>
  </si>
  <si>
    <t>CENTRAL FISHERIES RESEARCH INST</t>
  </si>
  <si>
    <t>TRABZON</t>
  </si>
  <si>
    <t>PO BOX 129, TRABZON, 61001, TURKEY</t>
  </si>
  <si>
    <t>1303-2712</t>
  </si>
  <si>
    <t>2149-181X</t>
  </si>
  <si>
    <t>TURK J FISH AQUAT SC</t>
  </si>
  <si>
    <t>Turk. J. Fish. Quat. Sci.</t>
  </si>
  <si>
    <t>AUG</t>
  </si>
  <si>
    <t>LQ6XK</t>
  </si>
  <si>
    <t>WOS:000535144400007</t>
  </si>
  <si>
    <t>Atmospheric micro (nano) plastics: future growing concerns for human health</t>
  </si>
  <si>
    <t>Plastics are an integral but largely inconspicuous part of daily human routines. The present review paper uses cross-disciplinary scientific literature to examine and assess the possible effects of nanoplastics (NPs) concerning microplastics (MPs) on human health and summarizes crucial areas for future research. Although research on the nature and consequences of MPs has seen a substantial rise, only limited studies have concentrated on the atmospheric nanosized polymeric particles. However, due to the intrinsic technological complications in separating and computing them, their existence has been difficult to determine correctly. There is a consensus that these are not only existing in the environment but can get directly released or as the outcome of weathering of larger fragments, and it is believed to be that combustion can be the tertiary source of polymeric particles. NPs can have harmful consequences on human health, and their exposure may happen via ingestion, inhalation, or absorption by the skin. The atmospheric fallout of micro (nano) plastics may be responsible for contaminating the environment. Apart from this, different drivers affect the concentration of micro (nano) plastics in every environment compartment like wind, water currents, vectors, soil erosion, run-off, etc. Their high specific surface for the sorption of organic pollutions and toxic heavy metals and possible transfer between organisms at different nutrient levels make the study of NPs an urgent priority. These NPs could potentially cause physical damage by the particles themselves and biological stress by NPs alone or by leaching additives. However, there is minimal understanding of the occurrence, distribution, abundance, and fate of NPs in the environment, partially due to the lack of suitable techniques for separating and identifying NPs from complex environmental matrices.</t>
  </si>
  <si>
    <t>10.1007/s11869-022-01272-2</t>
  </si>
  <si>
    <t>Article; Early Access</t>
  </si>
  <si>
    <t>Bhat, MA; Gedik, K; Gaga, EO</t>
  </si>
  <si>
    <t>Bhat, Mansoor Ahmad; Gedik, Kadir; Gaga, Eftade O.</t>
  </si>
  <si>
    <t>Combustion; Polymeric particles; Toxicology; Occupational health; Additives; Research needs</t>
  </si>
  <si>
    <t>PERSISTENT ORGANIC POLLUTANTS; POLYBROMINATED DIPHENYL ETHERS; BROMINATED FLAME RETARDANTS; STIMULATED RAMAN-SCATTERING; POLYCARBONATE BABY BOTTLES; INTERSTITIAL LUNG-DISEASE; POLYVINYL-CHLORIDE DUST; FLOCK WORKERS LUNG; FRESH-WATER; BISPHENOL-A</t>
  </si>
  <si>
    <t>[Bhat, Mansoor Ahmad; Gedik, Kadir; Gaga, Eftade O.] Eskisehir Tech Univ, Fac Engn, Dept Environm Engn, TR-26555 Eskisehir, Turkey; [Gedik, Kadir; Gaga, Eftade O.] Eskisehir Tech Univ, Environm Res Ctr CEVMER, TR-26555 Eskisehir, Turkey</t>
  </si>
  <si>
    <t>Eskisehir Technical University; Eskisehir Technical University</t>
  </si>
  <si>
    <t>Gaga, EO (corresponding author), Eskisehir Tech Univ, Fac Engn, Dept Environm Engn, TR-26555 Eskisehir, Turkey.;Gaga, EO (corresponding author), Eskisehir Tech Univ, Environm Res Ctr CEVMER, TR-26555 Eskisehir, Turkey.</t>
  </si>
  <si>
    <t>egaga@eskisehir.edu.tr</t>
  </si>
  <si>
    <t>Bhat, Mansoor Ahmad/GXV-3306-2022</t>
  </si>
  <si>
    <t>Bhat, Mansoor Ahmad/0000-0001-7868-448X</t>
  </si>
  <si>
    <t>Eskisehir Technical University Research Fund [21DRP106]</t>
  </si>
  <si>
    <t>Eskisehir Technical University Research Fund</t>
  </si>
  <si>
    <t>This study was supported by the Eskisehir Technical University Research Fund (project number 21DRP106) and we are thankfull to Presidency For Turks And Related Communities for providing PhD grant to Mansoor Ahmad Bhat.</t>
  </si>
  <si>
    <t>2022 OCT 17</t>
  </si>
  <si>
    <t>OCT 2022</t>
  </si>
  <si>
    <t>5J3QF</t>
  </si>
  <si>
    <t>Green Published, Bronze</t>
  </si>
  <si>
    <t>WOS:000868957900002</t>
  </si>
  <si>
    <t>Recovery of chemicals and gasoline-range fuels from plastic wastes via pyrolysis</t>
  </si>
  <si>
    <t>The aim of the present study is to describe non-catalytic pyrolysis of plastic waste materials and to determine yields of pyrolysis products. The waste plastics of polystyrene (PS), polyethylene (PE), and polypropylene (PP) were pyrolyzed in this study. Pyrolysis appears to be a technique that is able to reduce a bulky, high polluting industrial waste while producing energy and/or valuable chemical compounds. The pyrolysis of plastic wastes produces a whole spectrum of hydrocarbons including paraffins, olefins, naphthalenes and aromatics. The total yields of paraffins and olefins of PE and PP wastes obtained by pyrolysis were higher than that of PS. The yields of paraffins from plastic wastes decrease from 34.4 to 27.7% with increasing pyrolysis temperature from 625 to 800 K, and then slightly increase with temperature increasing from 825 to 875 K. The yields of olefins decrease from 41.3 to 32.4 with increasing pyrolysis temperature from 625 to 875 K. The yields of naphthalenes increase from 19.5 to 22.7% with increasing pyrolysis temperature from 625 to 875 K. The yields of aromatics increase from 3.2 to 11.5% with increasing pyrolysis temperature from 625 to 875.</t>
  </si>
  <si>
    <t>10.1080/009083190519500</t>
  </si>
  <si>
    <t>Demirbas, A</t>
  </si>
  <si>
    <t>ENERGY SOURCES</t>
  </si>
  <si>
    <t>gasoline-range hydrocarbons; plastic waste; pyrolysis</t>
  </si>
  <si>
    <t>Selcuk Univ, Dept Chem Engn, Konya, Turkey</t>
  </si>
  <si>
    <t>Selcuk University</t>
  </si>
  <si>
    <t>Demirbas, A (corresponding author), Selcuk Univ, Dept Chem Engn, Konya, Turkey.</t>
  </si>
  <si>
    <t>ayhandemirbas@hotmail.com</t>
  </si>
  <si>
    <t>325 CHESTNUT ST, SUITE 800, PHILADELPHIA, PA 19106 USA</t>
  </si>
  <si>
    <t>0090-8312</t>
  </si>
  <si>
    <t>ENERG SOURCE</t>
  </si>
  <si>
    <t>Energy Sources</t>
  </si>
  <si>
    <t>OCT 21</t>
  </si>
  <si>
    <t>Energy &amp; Fuels; Engineering, Chemical</t>
  </si>
  <si>
    <t>Energy &amp; Fuels; Engineering</t>
  </si>
  <si>
    <t>972QF</t>
  </si>
  <si>
    <t>WOS:000232467600003</t>
  </si>
  <si>
    <t>Plastic Matter Plastic Legacies: Pollution, Persistence, and Politics</t>
  </si>
  <si>
    <t>10.1093/jdh/epac054</t>
  </si>
  <si>
    <t>Book Review; Early Access</t>
  </si>
  <si>
    <t>Tonuk, D</t>
  </si>
  <si>
    <t>Tonuk, Damla</t>
  </si>
  <si>
    <t>JOURNAL OF DESIGN HISTORY</t>
  </si>
  <si>
    <t>[Tonuk, Damla] Middle East Tech Univ, Dept Ind Design, Ankara, Turkiye</t>
  </si>
  <si>
    <t>Middle East Technical University</t>
  </si>
  <si>
    <t>Tonuk, D (corresponding author), Middle East Tech Univ, Dept Ind Design, Ankara, Turkiye.</t>
  </si>
  <si>
    <t>dtonuk@metu.edu.tr</t>
  </si>
  <si>
    <t>OXFORD UNIV PRESS</t>
  </si>
  <si>
    <t>GREAT CLARENDON ST, OXFORD OX2 6DP, ENGLAND</t>
  </si>
  <si>
    <t>0952-4649</t>
  </si>
  <si>
    <t>1741-7279</t>
  </si>
  <si>
    <t>J DES HIST</t>
  </si>
  <si>
    <t>J. Des. Hist.</t>
  </si>
  <si>
    <t>2023 JAN 28</t>
  </si>
  <si>
    <t>Art</t>
  </si>
  <si>
    <t>Arts &amp;amp; Humanities Citation Index (A&amp;amp;HCI)</t>
  </si>
  <si>
    <t>8L0TV</t>
  </si>
  <si>
    <t>WOS:000923504100001</t>
  </si>
  <si>
    <t>Bioplastic Production from Microalgae: A Review</t>
  </si>
  <si>
    <t>Plastic waste production around the world is increasing, which leads to global plastic waste pollution. The need for an innovative solution to reduce this pollution is inevitable. Increased recycling of plastic waste alone is not a comprehensive solution. Furthermore, decreasing fossil-based plastic usage is an important aspect of sustainability. As an alternative to fossil-based plastics in the market, bio-based plastics are gaining in popularity. According to the studies conducted, products with similar performance characteristics can be obtained using biological feedstocks instead of fossil-based sources. In particular, bioplastic production from microalgae is a new opportunity to be explored and further improved. The aim of this study is to determine the current state of bioplastic production technologies from microalgae species and reveal possible optimization opportunities in the process and application areas. Therefore, the species used as resources for bioplastic production, the microalgae cultivation methods and bioplastic material production methods from microalgae were summarized.</t>
  </si>
  <si>
    <t>10.3390/ijerph17113842</t>
  </si>
  <si>
    <t>Cinar, SO; Chong, ZK; Kucuker, MA; Wieczorek, N; Cengiz, U; Kuchta, K</t>
  </si>
  <si>
    <t>Cinar, Senem Onen; Chong, Zhi Kai; Kucuker, Mehmet Ali; Wieczorek, Nils; Cengiz, Ugur; Kuchta, Kerstin</t>
  </si>
  <si>
    <t>INTERNATIONAL JOURNAL OF ENVIRONMENTAL RESEARCH AND PUBLIC HEALTH</t>
  </si>
  <si>
    <t>bioplastic; microalgae; bioeconomy; biodegradable plastic; circular economy; bio-based plastic</t>
  </si>
  <si>
    <t>LIFE-CYCLE; CHLORELLA; CULTIVATION; BIOMASS; PHOTOBIOREACTOR; BIODIESEL; BIOFUELS; POLYPROPYLENE; CYANOBACTERIA; PERFORMANCE</t>
  </si>
  <si>
    <t>[Cinar, Senem Onen; Chong, Zhi Kai; Wieczorek, Nils; Kuchta, Kerstin] Hamburg Univ Technol, Sustainable Resource &amp; Waste Management, D-21079 Hamburg, Germany; [Kucuker, Mehmet Ali] Canakkale Onsekiz Mart Univ, Dept Environm Engn, Fac Engn, TR-17020 Canakkale, Turkey; [Cengiz, Ugur] Canakkale Onsekiz Mart Univ, Fac Engn, Dept Chem Engn, TR-17020 Canakkale, Turkey</t>
  </si>
  <si>
    <t>Hamburg University of Technology; Canakkale Onsekiz Mart University; Canakkale Onsekiz Mart University</t>
  </si>
  <si>
    <t>Cinar, SO (corresponding author), Hamburg Univ Technol, Sustainable Resource &amp; Waste Management, D-21079 Hamburg, Germany.</t>
  </si>
  <si>
    <t>senem.oenen@tuhh.de; kai.chong@tuhh.de; kucuker@comu.edu.tr; nils.wieczorek@tuhh.de; ucengiz@comu.edu.tr; kuchta@tuhh.de</t>
  </si>
  <si>
    <t>Cinar, Senem/AAV-9924-2021; Cengiz, Ugur/F-6410-2011; Kucuker, Mehmet Ali/ABG-6276-2020</t>
  </si>
  <si>
    <t>Cengiz, Ugur/0000-0002-0400-3351; Kucuker, Mehmet Ali/0000-0001-9648-8925; Onen Cinar, Senem/0000-0001-9550-636X; Wieczorek, Nils/0000-0001-8392-3772</t>
  </si>
  <si>
    <t>Funding Program *Open Access Publishing* of Hamburg University of Technology</t>
  </si>
  <si>
    <t>This research received no external funding. The publishing cost was covered by the Funding Program *Open Access Publishing* of Hamburg University of Technology.</t>
  </si>
  <si>
    <t>1660-4601</t>
  </si>
  <si>
    <t>INT J ENV RES PUB HE</t>
  </si>
  <si>
    <t>Int. J. Environ. Res. Public Health</t>
  </si>
  <si>
    <t>Environmental Sciences; Public, Environmental &amp; Occupational Health</t>
  </si>
  <si>
    <t>Environmental Sciences &amp; Ecology; Public, Environmental &amp; Occupational Health</t>
  </si>
  <si>
    <t>MB5FY</t>
  </si>
  <si>
    <t>Green Published, gold</t>
  </si>
  <si>
    <t>WOS:000542629600095</t>
  </si>
  <si>
    <t>Microplastics in wastewater treatment plants: Occurrence, fate and identification</t>
  </si>
  <si>
    <t>This review highlights the methodologies for sampling, sample preparation, and identification of microplastics found in wastewater treatment plants. The presence and deposition of microplastics in the environment lead to serious environmental and ecological concerns. The role of wastewater treatment plants in spreading microplastics to the environment poses additional threats that need to be treated. Thus, the key challenges remain in understanding the fate and occurrence of microplastics in the wastewater treatment plant and the ability to detect them at each stage of the treatment. This review, therefore, helps to understand the fate and occurence of microplastics in the wastewater treatment plant. Besides, it is organized to present an overall discussion of the available microplastics detection techniques from sampling to identification. (C) 2020 Institution of Chemical Engineers. Published by Elsevier B.V. All rights reserved.</t>
  </si>
  <si>
    <t>10.1016/j.psep.2020.08.039</t>
  </si>
  <si>
    <t>Turan, NB; Erkan, HS; Engin, GO</t>
  </si>
  <si>
    <t>Turan, Nouha Bakaraki; Erkan, Hanife Sari; Engin, Guleda Onkal</t>
  </si>
  <si>
    <t>PROCESS SAFETY AND ENVIRONMENTAL PROTECTION</t>
  </si>
  <si>
    <t>Microplastics; Wastewater treatment plant; Detection; Identification</t>
  </si>
  <si>
    <t>ENVIRONMENTAL-SAMPLES; MARINE-ENVIRONMENT; SEWAGE-SLUDGE; POLLUTION; SEDIMENTS; POLYETHYLENE; QUANTIFICATION; PARTICLES; REMOVAL; COMPLEX</t>
  </si>
  <si>
    <t>[Turan, Nouha Bakaraki; Erkan, Hanife Sari; Engin, Guleda Onkal] Yildiz Tech Univ, Civil Engn Fac, Environm Engn Dept, TR-34220 Istanbul, Turkey</t>
  </si>
  <si>
    <t>Erkan, HS (corresponding author), Yildiz Tech Univ, Civil Engn Fac, Environm Engn Dept, TR-34220 Istanbul, Turkey.</t>
  </si>
  <si>
    <t>hsari@yildiz.edu.tr</t>
  </si>
  <si>
    <t>Onkal Engin, Guleda/0000-0002-3841-8440</t>
  </si>
  <si>
    <t>Scientific and Technological Research Council of Turkey (TUBITAK) [119Y415]</t>
  </si>
  <si>
    <t>This paper is prepared under the project no 119Y415 supported by the Scientific and Technological Research Council of Turkey (TUBITAK).</t>
  </si>
  <si>
    <t>0957-5820</t>
  </si>
  <si>
    <t>1744-3598</t>
  </si>
  <si>
    <t>PROCESS SAF ENVIRON</t>
  </si>
  <si>
    <t>Process Saf. Environ. Protect.</t>
  </si>
  <si>
    <t>QA1RN</t>
  </si>
  <si>
    <t>WOS:000613226900008</t>
  </si>
  <si>
    <t>Environmental impacts of post-consumer plastic wastes: Treatment technologies towards eco-sustainability and circular economy</t>
  </si>
  <si>
    <t>The huge amounts of plastic production (millions of tons) are carried out all around world every year and EU is one of the biggest consumers of these products. In 2021, recycling rate of plastic wastes around 32.5% in the EU and the rest end up on their journey in landfills and oceans that lead to environmental pollution which is a crucial global concern. Thus, it is important to take necessary steps to control the use of such plastic and to sustainably dispose them. One of the solutions to the problem is to use a better alternative to plastics which doesn't degrade land, water or air nor affects living organisms. Circular economy is another answer to this problem, it would ensure prevention of post-consumer plastic waste from getting formed. In addition, sustainable disposal approaches for plastic waste such as pyrolysis, plasma gasification, photocatalytic degradation, and production of value-added products from polymer waste can be explored. These recycling methods has huge potential for research and studies and can play a crucial in eliminating post-consumer plastic waste. This review paper aims to discuss the environmental effects of post-consumer plastic wastes as well as the emerging approaches for the treatment of these environmental wastes towards eco-sustainability and circular economy.</t>
  </si>
  <si>
    <t>10.1016/j.chemosphere.2022.135867</t>
  </si>
  <si>
    <t>Chawla, S; Varghese, BS; Chithra, A; Hussain, CG; Kecili, R; Hussain, CM</t>
  </si>
  <si>
    <t>Chawla, Shashi; Varghese, Basil Sajan; Chithra, A.; Hussain, Chaudhery Ghazanfar; Kecili, Rustem; Hussain, Chaudhery Mustansar</t>
  </si>
  <si>
    <t>Microplastics; Nano-plastics; Eco-sustainability; Circular economy; Photocatalytic decomposition; Sustainable packaging; Microbial degradation; Graphical abstract</t>
  </si>
  <si>
    <t>CATALYTIC PYROLYSIS; SOLID-WASTE; GASIFICATION</t>
  </si>
  <si>
    <t>[Chawla, Shashi; Varghese, Basil Sajan; Chithra, A.] Amity Univ Uttar Pradesh, Amity Inst Appl Sci, Dept Chem, Noida 20130, India; [Hussain, Chaudhery Ghazanfar] Dept Educ Lahore, Comp Sci &amp; Technol, Punjab, Pakistan; [Kecili, Rustem] Anadolu Univ, Yunus Emre Vocat Sch Hlth Serv, Dept Med Serv &amp; Tech, TR-26470 Eskisehir, Turkey; [Hussain, Chaudhery Mustansar] New Jersey Inst Technol, Dept Chem &amp; Environm Sci, Newark, NJ 07102 USA</t>
  </si>
  <si>
    <t>Anadolu University; New Jersey Institute of Technology</t>
  </si>
  <si>
    <t>Hussain, CM (corresponding author), New Jersey Inst Technol, Dept Chem &amp; Environm Sci, Newark, NJ 07102 USA.</t>
  </si>
  <si>
    <t>shashichawla10@gmail.com; basilsajanvarghese@gmail.com; chitranair003@gmail.com; ur1947@gmail.com; rkecili@anadolu.edu.tr; chaudhery.m.hussain@njit.edu</t>
  </si>
  <si>
    <t>chawla, shashi/AAX-4423-2021; Hussain, Chaudhery Mustansar/H-4620-2018</t>
  </si>
  <si>
    <t>Hussain, Chaudhery Mustansar/0000-0002-1964-4338; Chawla, shashi/0000-0002-8224-8506</t>
  </si>
  <si>
    <t>5A5OP</t>
  </si>
  <si>
    <t>WOS:000862937200007</t>
  </si>
  <si>
    <t>Current status of studies on microplastics in the world's marine environments</t>
  </si>
  <si>
    <t>Microplastics (MPs) are considered a new type of pollutant that invades different environmental regions. The gradual increase in consumption of plastic products has led to its abundance in the ecosystem as a result of degradation of larger plastics into smaller particles. A great scientific interest in this topic arose from a series of unknowns that fell into different research disciplines. This review aims to take a look at the latest research papers on the detection of MPs in the world's marine environments. Some of the recent studies performed in the marine environments of the Atlantic, Pacific, Indian, Arctic, and Southern regions are listed in this study. The highest number of MPs were found mainly in the Pacific ocean with an average concentration of 918 items/m(3). However, the occurrence of MPs in the Atlantic, Arctic, Indian and Southern oceans reduced to 7.68 item/m(3), 0.7 item/m(3), 0.32 item/m(3) and 0.022 items/m3, respectively. Average MPs concentration reported are based on the case studies listed in this paper. Additionally, this paper highlights the variety of equipment used for the detection of MPs in seawater and deep seawater. On the other hand, the mitigation of MPs occurrence was discussed noting the urgent need for global cooperation to reduce the use of plastics and increase the use of biodegradable and bioplastics. Finally, the importance of this study remains in the broad screening of MPs in the world's marine environment underlying existing research gaps and possible mitigation methods for MPs reduction.</t>
  </si>
  <si>
    <t>10.1016/j.jclepro.2021.129394</t>
  </si>
  <si>
    <t>Microplastics; Marine environment; Detection; Management strategies</t>
  </si>
  <si>
    <t>SURFACE DEGRADATION FEATURES; LIFE-CYCLE ASSESSMENT; MEDITERRANEAN SEA; PLASTIC DEBRIS; SPATIAL-DISTRIBUTION; LEVANTINE COAST; SOUTHEAST COAST; ROSS SEA; SEDIMENTS; POLLUTION</t>
  </si>
  <si>
    <t>hsari@yildiz.edu.tr; gengin@yildiz.edu.tr</t>
  </si>
  <si>
    <t>The authors would like to thank the Scientific and Technological Research Council of Turkey (TUBITAK) for financially supporting this study under the project number of 119Y415.</t>
  </si>
  <si>
    <t>DEC 10</t>
  </si>
  <si>
    <t>XW8FJ</t>
  </si>
  <si>
    <t>WOS:000735847700005</t>
  </si>
  <si>
    <t>Editorial: Alternatives to petroleum-based plastics as a potential solution to the global plastic pollution crisis in marine environments: Do they provide sustainable solutions?</t>
  </si>
  <si>
    <t>10.3389/fmars.2022.1066113</t>
  </si>
  <si>
    <t>Editorial Material</t>
  </si>
  <si>
    <t>Gundogdu, S; Walker, TR; Almroth, BC; Coffin, S; Gwinnett, C</t>
  </si>
  <si>
    <t>Gundogdu, Sedat; Walker, Tony R.; Almroth, Bethanie Carney; Coffin, Scott; Gwinnett, Claire</t>
  </si>
  <si>
    <t>FRONTIERS IN MARINE SCIENCE</t>
  </si>
  <si>
    <t>plastic pollution; biobased plastics; biodegradable; biopolymer; marine pollution; compostable; single-use</t>
  </si>
  <si>
    <t>[Gundogdu, Sedat] Cukurova Univ, Fac Fisheries, Dept Basic Sci, Adana, Turkey; [Walker, Tony R.] Dalhousie Univ, Sch Resource &amp; Environm Studies, Halifax, NS, Canada; [Almroth, Bethanie Carney] Univ Gothenburg, Dept Biol &amp; Environm Sci, Gothenburg, Sweden; [Coffin, Scott] Calif State Water Resources Control Board, Sacramento, CA USA; [Gwinnett, Claire] Staffordshire Univ, Criminal Justice &amp; Forens Sci Dept, Stoke On Trent, Staffs, England</t>
  </si>
  <si>
    <t>Cukurova University; Dalhousie University; University of Gothenburg; Staffordshire University</t>
  </si>
  <si>
    <t>Gundogdu, S (corresponding author), Cukurova Univ, Fac Fisheries, Dept Basic Sci, Adana, Turkey.</t>
  </si>
  <si>
    <t>Almroth, Bethanie Carney/Q-6411-2019; Coffin, Scott/AAD-1043-2019</t>
  </si>
  <si>
    <t>Almroth, Bethanie Carney/0000-0002-5037-4612; Coffin, Scott/0000-0002-7035-1282</t>
  </si>
  <si>
    <t>FRONTIERS MEDIA SA</t>
  </si>
  <si>
    <t>LAUSANNE</t>
  </si>
  <si>
    <t>AVENUE DU TRIBUNAL FEDERAL 34, LAUSANNE, CH-1015, SWITZERLAND</t>
  </si>
  <si>
    <t>2296-7745</t>
  </si>
  <si>
    <t>FRONT MAR SCI</t>
  </si>
  <si>
    <t>Front. Mar. Sci.</t>
  </si>
  <si>
    <t>NOV 2</t>
  </si>
  <si>
    <t>6I4NY</t>
  </si>
  <si>
    <t>WOS:000886105400001</t>
  </si>
  <si>
    <t>Usage of Recycled Pet</t>
  </si>
  <si>
    <t>The increasing industrialization, urbanization and the technological development have caused to increase depletion of the natural resources and environmental pollution's problem. Especially, for the countries which have not enough space recycling of the waste eliminating waste on regular basis or decreasing the amount and volume of waste have provided the important advantages. There are lots of studies and projects to develop both protect resources and prevent environmental pollution. PET bottles are commonly used in beverage industry and can be reused after physical and chemical recycling processes. Usage areas of recycled PET have been developed rapidly. Although recycled PET is used in plastic industry, composite industry also provides usage alternatives of recycled PET. Textile is a suitable sector for recycling of some plastics made of polymers too. In this study, the recycling technologies and applications of waste PET bottles have been investigated and scientific works in this area have been summarized.</t>
  </si>
  <si>
    <t>Tayyar, AE; Ustun, S</t>
  </si>
  <si>
    <t>Tayyar, A. Ebru; Ustun, Sevcan</t>
  </si>
  <si>
    <t>PAMUKKALE UNIVERSITY JOURNAL OF ENGINEERING SCIENCES-PAMUKKALE UNIVERSITESI MUHENDISLIK BILIMLERI DERGISI</t>
  </si>
  <si>
    <t>PET bottles; Recycling; Waste; Textile; Polyethylene terephtalate (PET)</t>
  </si>
  <si>
    <t>[Tayyar, A. Ebru; Ustun, Sevcan] Usak Univ, Muhendisl Fak, Tekstil Muhendisligi Bolumu, TR-64200 Usak, Turkey</t>
  </si>
  <si>
    <t>Usak University</t>
  </si>
  <si>
    <t>Tayyar, AE (corresponding author), Usak Univ, Muhendisl Fak, Tekstil Muhendisligi Bolumu, TR-64200 Usak, Turkey.</t>
  </si>
  <si>
    <t>ayseebru.tayyar@usak.edu.tr</t>
  </si>
  <si>
    <t>PAMUKKALE UNIV</t>
  </si>
  <si>
    <t>DENIZLI</t>
  </si>
  <si>
    <t>CAMPUS INCILIPINAR, DENIZLI, 20020, TURKEY</t>
  </si>
  <si>
    <t>1300-7009</t>
  </si>
  <si>
    <t>2147-5881</t>
  </si>
  <si>
    <t>PAMUKKALE U J ENG SC</t>
  </si>
  <si>
    <t>Pamukkale Univ. J. Eng. Sci.</t>
  </si>
  <si>
    <t>Engineering, Multidisciplinary</t>
  </si>
  <si>
    <t>VF5RT</t>
  </si>
  <si>
    <t>WOS:000443138400006</t>
  </si>
  <si>
    <t>Environmental emission, fate and transformation of microplastics in biotic and abiotic compartments: Global status, recent advances and future perspectives</t>
  </si>
  <si>
    <t>The intensive use and wide-ranging application of plastic- and plastic-derived products have resulted in alarming levels of plastic pollution in different environmental compartments worldwide. As a result of various biogeochemical mechanisms, this plastic litter is converted into small, ubiquitous and persistent fragments called microplastics (&lt;5 mm), which are of significant and increasing concern to the scientific community. Microplastics have spread across the globe and now exist in virtually all environmental compartments (the soil, atmosphere, and water). Although these compartments are often considered to be independent environments, in reality, they are very closely linked. Ample research has been done on microplastics, but there are still questions and knowledge gaps regarding the emission, occurrence, distribution, detection, environmental fate and transport of MPs in different environmental compartments. The current article is intended to provide a systematic overview of MP emissions, pollution conditions, sampling and analytical approaches, transport, fates and transformation mechanisms in different environmental compartments. It also identifies research gaps and future research directions and perspectives. (c) 2021 Elsevier B.V. All rights reserved.</t>
  </si>
  <si>
    <t>10.1016/j.scitotenv.2021.148422</t>
  </si>
  <si>
    <t>Ali, MU; Lin, SY; Yousaf, B; Abbas, Q; Munir, MAM; Ali, MU; Rasihd, A; Zheng, CM; Kuang, XX; Wong, MH</t>
  </si>
  <si>
    <t>Ali, Muhammad Ubaid; Lin, Siyi; Yousaf, Balal; Abbas, Qumber; Munir, Mehr Ahmed Mujtaba; Ali, Muhammad Uzair; Rasihd, Audil; Zheng, Chunmiao; Kuang, Xingxing; Wong, Ming Hung</t>
  </si>
  <si>
    <t>Microplastics; Environmental compartments; Occurrence and identification; Weathering and biodegradation</t>
  </si>
  <si>
    <t>MARINE DEBRIS; PLASTIC DEBRIS; WIDESPREAD DISTRIBUTION; ATMOSPHERIC FALLOUT; BIOFILM FORMATION; COASTAL WATERS; NEW-JERSEY; TRANSPORT; POLLUTION; DEGRADATION</t>
  </si>
  <si>
    <t>[Ali, Muhammad Ubaid; Lin, Siyi; Zheng, Chunmiao; Kuang, Xingxing; Wong, Ming Hung] Southern Univ Sci &amp; Technol, Sch Environm Sci &amp; Engn, Guangdong Prov Key Lab Soil &amp; Groundwater Pollut, Shenzhen, Peoples R China; [Wong, Ming Hung] Educ Univ Hong Kong, Dept Sci &amp; Environm Studies, Consortium Hlth Environm Educ &amp; Res CHEER, Hong Kong, Peoples R China; [Yousaf, Balal] Middle East Tech Univ, Dept Environm Engn, TR-06800 Ankara, Turkey; [Yousaf, Balal; Munir, Mehr Ahmed Mujtaba] Univ Sci &amp; Technol China, Sch Earth &amp; Space Sci, CAS Key Lab Crust Mantle Mat &amp; Environm, Hefei 230026, Peoples R China; [Ali, Muhammad Uzair] Xiangtan Univ, Sch Business, Xiangtan, Hunan, Peoples R China; [Rasihd, Audil] Univ Gujrat, Dept Bot, Fac Sci, Gujrat 50700, Pakistan; [Ali, Muhammad Ubaid; Lin, Siyi; Zheng, Chunmiao; Kuang, Xingxing; Wong, Ming Hung] Southern Univ Sci &amp; Technol, Sch Environm Sci &amp; Engn, State Environm Protect Key Lab Integrated Surface, Shenzhen, Peoples R China</t>
  </si>
  <si>
    <t>Southern University of Science &amp; Technology; Education University of Hong Kong (EdUHK); Middle East Technical University; Chinese Academy of Sciences; University of Science &amp; Technology of China, CAS; Xiangtan University; University of Gujrat; Southern University of Science &amp; Technology</t>
  </si>
  <si>
    <t>Wong, MH (corresponding author), Educ Univ Hong Kong, Dept Sci &amp; Environm Studies, Consortium Hlth Environm Educ &amp; Res CHEER, Hong Kong, Peoples R China.</t>
  </si>
  <si>
    <t>ali@sustech.edu.cn; linsy@mail.sustech.edu.cn; balal@metu.edu.tr; qumber@metu.edu.tr; muju212@mail.ustc.edu.cn; uzair@smail.xtu.edu.cn; audil@uaar.edu.pk; zhengcm@sustech.edu.cn; kuangxx@sustech.edu.cn; minghwong@eduhk.hk</t>
  </si>
  <si>
    <t>Zheng, Chunmiao/I-5257-2014; Wong, Ming Hung/AAC-6507-2022; Rashid, Audil/AET-5232-2022; Yousaf, Balal/M-7567-2015; ali, Muhammad uzair/ABA-6095-2020; Munir, Mehr Ahmed Mujtaba/GZB-2254-2022; Ali, Muhammad Ubaid/J-9776-2019; Kuang, Xingxing/F-6080-2019; Lin, Siyi/HGA-9163-2022</t>
  </si>
  <si>
    <t xml:space="preserve">Zheng, Chunmiao/0000-0001-5839-1305; Rashid, Audil/0000-0003-3872-8681; Yousaf, Balal/0000-0003-2732-2176; Munir, Mehr Ahmed Mujtaba/0000-0002-6466-571X; Ali, Muhammad Ubaid/0000-0002-3564-213X; </t>
  </si>
  <si>
    <t>Guangdong Provincial Key Laboratory of Soil and Groundwater Pollution Control [2017B030301012]; State Environmental Protection Key Laboratory of Integrated SurfaceWater-Groundwater Pollution Control; National Natural Science Foundation of China [41890852]</t>
  </si>
  <si>
    <t>Guangdong Provincial Key Laboratory of Soil and Groundwater Pollution Control; State Environmental Protection Key Laboratory of Integrated SurfaceWater-Groundwater Pollution Control; National Natural Science Foundation of China(National Natural Science Foundation of China (NSFC))</t>
  </si>
  <si>
    <t>This work was sponsored by Guangdong Provincial Key Laboratory of Soil and Groundwater Pollution Control (No. 2017B030301012) and the State Environmental Protection Key Laboratory of Integrated SurfaceWater-Groundwater Pollution Control. Additional support was provided by the National Natural Science Foundation of China (Grant No. 41890852).</t>
  </si>
  <si>
    <t>JUN 2021</t>
  </si>
  <si>
    <t>UB7FQ</t>
  </si>
  <si>
    <t>WOS:000686007900012</t>
  </si>
  <si>
    <t>Sewage sludge as a source of microplastics in the environment: A review of occurrence and fate during sludge treatment</t>
  </si>
  <si>
    <t>Modern wastewater treatment plants (WWTPs) effectively remove microplastics (MPs) from wastewater and unsurprisingly concentrate them in sludge. Hence through its beneficial use and disposal, sludge causes secondary release pathways of an estimated average amount of 106 to 1014 wastewater-based MPs to various environmental compartments yearly. Despite these numbers, studies investigating sludge are scarce. Currently, majority of the studies in the field focus on identifying the magnitude of the problem, whereas research investigating the fate and effects of MPs during sludge treatment are very rare. This review aims to bring together and critically evaluate the limited studies conducted about MPs in the sludge treatment line and bring out the key gaps and research needs in the area. Studies conducted so far indicate that depending on the type, size, and amount of MPs, their effects during anaerobic digestion differ, with some studies demonstrating serious negative impact on biogas production. Possible effect mechanisms are also suggested such as formation of reactive oxygen species (ROS) and leaching of toxic chemicals. Moreover, a potential for sludge treatment processes (thickening, dewatering, drying, stabilization, etc.) to change the characteristics and the number of MPs, which may increase surface area available for adsorption and desorption of pollutants, was observed. Review uncovers that, in the broad universe of MPs, some highly abundant ones in sludge such as polypropylene, polyurethane, polycarbonate, and acrylic are not yet investigated in sludge treatment. Future research should focus not only to investigate the fate/effects but to fully understand the mechanisms behind these, which is missing in many studies reviewed. Besides, new studies show that effect of MPs start from the floc formation stage during biological treatment, which in fact determine the final sludge behavior in thickening and dewatering. Therefore, holistic approaches starting from wastewater till sludge exits WWTP seem necessary. Substantiating from polymer chemistry and response of plastics to stress conditions, review suggests possibilities of deterioration during sludge treatment processes. It becomes evident that some totally uninvestigated aspects such as disintegration conducted before stabilization, can change the fate of MPs during sludge treatment and may bring new perspectives to the solution of the problem.</t>
  </si>
  <si>
    <t>10.1016/j.jenvman.2021.113028</t>
  </si>
  <si>
    <t>Hatinoglu, MD; Sanin, FD</t>
  </si>
  <si>
    <t>lu, M. Dilara Hatinog; Sanin, F. Dilek</t>
  </si>
  <si>
    <t>JOURNAL OF ENVIRONMENTAL MANAGEMENT</t>
  </si>
  <si>
    <t>Microplastics; Fate&amp;nbsp; Sludge; Wastewater treatment&amp;nbsp; plants; Sludge treatment; Stabilization</t>
  </si>
  <si>
    <t>WATER TREATMENT-PLANT; AGRICULTURAL SOILS; IDENTIFICATION; PARTICLES; REMOVAL; QUANTIFICATION; POLLUTION; EXPOSURE; EFFLUENT; PLASTICS</t>
  </si>
  <si>
    <t>[lu, M. Dilara Hatinog; Sanin, F. Dilek] Middle East Tech Univ, Dept Environm Engn, TR-06800 Ankara, Turkey</t>
  </si>
  <si>
    <t>Sanin, FD (corresponding author), Middle East Tech Univ, Dept Environm Engn, TR-06800 Ankara, Turkey.</t>
  </si>
  <si>
    <t>dsanin@metu.edu.tr</t>
  </si>
  <si>
    <t>Hatinoglu, M.Dilara/ABF-7440-2021; Hatinoglu, M. Dilara/AAZ-9616-2021</t>
  </si>
  <si>
    <t>Hatinoglu, M. Dilara/0000-0002-9768-2380; Sanin, F. Dilek/0000-0002-1376-8700</t>
  </si>
  <si>
    <t>ACADEMIC PRESS LTD- ELSEVIER SCIENCE LTD</t>
  </si>
  <si>
    <t>24-28 OVAL RD, LONDON NW1 7DX, ENGLAND</t>
  </si>
  <si>
    <t>0301-4797</t>
  </si>
  <si>
    <t>1095-8630</t>
  </si>
  <si>
    <t>J ENVIRON MANAGE</t>
  </si>
  <si>
    <t>J. Environ. Manage.</t>
  </si>
  <si>
    <t>OCT 1</t>
  </si>
  <si>
    <t>TU5YY</t>
  </si>
  <si>
    <t>WOS:000681112900008</t>
  </si>
  <si>
    <t>Solid-state photocatalysis for plastics abatement: A review</t>
  </si>
  <si>
    <t>The COVID-19 pandemic has caused a dramatic increase in plastic wastes associated with the use of single-use masks, gloves, gowns, and other personal protective equipment (PPE). The accumulation of PPE, especially single-use masks, end up polluting environment, causing harm mainly to aquatic and terrestrial ecosystems. Due to the enormous concern about plastic pollution, many efforts are being made to develop efficient technologies to tackle it, among which solid-state photocatalysis is highlighted. Even though the outstanding results that have been obtained with the solid-state application of photocatalysis, there are fewer publications and reports on the use of it in comparison with aqueous and/or gaseous phase photocatalysis. Then, this review presents the most relevant works published on this topic and provide an in-depth analysis of solid-state photocatalysis for plastic abatement, including the incorporation of the usually hydrophilic photocatalyst into the hydrophobic plastic matrix, the common experimental procedures for evaluating its effectiveness (gravimetric, optical, spectroscopic, and mechanical methods) and the description of the intricate reaction mechanism suggested so far. The aim is increasing the awareness on this innovative topic among the academic/industrial community and advancing the research thereon.</t>
  </si>
  <si>
    <t>10.1016/j.mssp.2022.106890</t>
  </si>
  <si>
    <t>Castilla-Caballero, D; Sadak, O; Martinez-Diaz, J; Martinez-Castro, V; Machuca-Martinez, F; Hernandez-Ramirez, A; Vazquez-Rodriguez, S; Gunasekaran, S</t>
  </si>
  <si>
    <t>Castilla-Caballero, Deyler; Sadak, Omer; Martinez-Diaz, Jolaine; Martinez-Castro, Valentina; Machuca-Martinez, Fiderman; Hernandez-Ramirez, Aracely; Vazquez-Rodriguez, Sofia; Gunasekaran, Sundaram</t>
  </si>
  <si>
    <t>MATERIALS SCIENCE IN SEMICONDUCTOR PROCESSING</t>
  </si>
  <si>
    <t>Solid-state photocatalysis; Plastic pollution; Polyolefins; TiO2</t>
  </si>
  <si>
    <t>TITANIUM-DIOXIDE PIGMENTS; POLYPROPYLENE FILM; MOLECULAR-WEIGHT; DEGRADATION; POLYETHYLENE; TIO2; PHOTODEGRADATION; PHOTOOXIDATION; NANOMATERIALS; ENHANCEMENT</t>
  </si>
  <si>
    <t>[Castilla-Caballero, Deyler; Martinez-Diaz, Jolaine; Martinez-Castro, Valentina] Univ Tecnol Bolivar, Environm Engn Program, Parque Ind &amp; Tecnol Carlos Velez Pombo Km 1 Via Tu, Cartagena, Colombia; [Castilla-Caballero, Deyler; Machuca-Martinez, Fiderman] Univ Tecnol Bolivar, Chem Engn Program, Parque Ind &amp; Tecnol Carlos Velez Pombo Km 1 Via Tu, Cartagena, Colombia; [Sadak, Omer; Machuca-Martinez, Fiderman] Univ Valle, Escuela Ingn Quim, Cali 760026, Colombia; [Sadak, Omer] Ardahan Univ, Dept Elect &amp; Elect Engn, Ardahan, Turkey; [Hernandez-Ramirez, Aracely] Univ Cartagena, Chem Engn Program, Ave Consulado 48-152, Cartagena 130001, Colombia; [Vazquez-Rodriguez, Sofia] Univ Autonoma Nuevo Leon, Ave Univ S N, Fac Ciencias Quim, Cd Univ,NL, CP, San Nicolas De Los Garza 66455, Mexico; [Gunasekaran, Sundaram] Univ Autonoma Nuevo Leon, Fac Ingn Mecan &amp; Electr, Pedro Alba S N, Cd Universitaria, San Nicolas De Los Garza 66455, Nuevo Leon, Mexico; [Machuca-Martinez, Fiderman] Univ Wisconsin, Dept Biol Syst Engn, Madison, WI 53706 USA; [Machuca-Martinez, Fiderman] Univ Valle, CENM, Cali 760026, Colombia</t>
  </si>
  <si>
    <t>Universidad Tecnologica de Bolivar; Universidad Tecnologica de Bolivar; Universidad del Valle; Ardahan University; Universidad de Cartagena; Universidad Autonoma de Nuevo Leon; Universidad Autonoma de Nuevo Leon; University of Wisconsin System; University of Wisconsin Madison; Universidad del Valle</t>
  </si>
  <si>
    <t>Castilla-Caballero, D (corresponding author), Univ Tecnol Bolivar, Environm Engn Program, Parque Ind &amp; Tecnol Carlos Velez Pombo Km 1 Via Tu, Cartagena, Colombia.;Castilla-Caballero, D; Machuca-Martinez, F (corresponding author), Univ Tecnol Bolivar, Chem Engn Program, Parque Ind &amp; Tecnol Carlos Velez Pombo Km 1 Via Tu, Cartagena, Colombia.;Machuca-Martinez, F (corresponding author), Univ Valle, Escuela Ingn Quim, Cali 760026, Colombia.;Machuca-Martinez, F (corresponding author), Univ Wisconsin, Dept Biol Syst Engn, Madison, WI 53706 USA.;Machuca-Martinez, F (corresponding author), Univ Valle, CENM, Cali 760026, Colombia.</t>
  </si>
  <si>
    <t>dcastilla@utb.edu.co; fiderman.machuca@correounivalle.edu.co</t>
  </si>
  <si>
    <t>Vazquez-Rodriguez, Sofia/F-3494-2019; Machuca-Martinez, Fiderman/G-2373-2017; Sadak, Omer/AAA-9717-2020</t>
  </si>
  <si>
    <t>Vazquez-Rodriguez, Sofia/0000-0001-6034-8760; Machuca-Martinez, Fiderman/0000-0002-4553-3957; Sadak, Omer/0000-0001-6717-9672; Castilla Caballero, Deyler Rafael/0000-0001-7848-3127</t>
  </si>
  <si>
    <t>Fulbright-Colombia; Minciencias; Universidad del Valle [BPIN 2020000100377]; Colciencias (Minciencias-Colombia)</t>
  </si>
  <si>
    <t>Fulbright-Colombia; Minciencias; Universidad del Valle; Colciencias (Minciencias-Colombia)(Departamento Administrativo de Ciencia, Tecnologia e Innovacion Colciencias)</t>
  </si>
  <si>
    <t>No specific grant supported directly the elaboration of this review. However, Deyler Castilla-Caballero, Jose Colina-Marquez and Fiderman Machuca-Martnez thank Colciencias (Minciencias-Colombia) for funding their PhD studies. Deyler Castilla-Caballero and Sundaram Gunase-karan also acknowledge Fulbright-Colombia for granting their Colombian Visiting Scholar and US Specialist exchange fellowships that fostered this work; and Machuca-Martinez thanks Minciencias and the Universidad del Valle for the grant No. BPIN 2020000100377 that enabled his contribution to this review. The aid on art elaboration provided by Chem. Eng. Astrid Medina-Guerrero is much appreciated.</t>
  </si>
  <si>
    <t>1369-8001</t>
  </si>
  <si>
    <t>1873-4081</t>
  </si>
  <si>
    <t>MAT SCI SEMICON PROC</t>
  </si>
  <si>
    <t>Mater. Sci. Semicond. Process</t>
  </si>
  <si>
    <t>OCT</t>
  </si>
  <si>
    <t>Engineering, Electrical &amp; Electronic; Materials Science, Multidisciplinary; Physics, Applied; Physics, Condensed Matter</t>
  </si>
  <si>
    <t>Engineering; Materials Science; Physics</t>
  </si>
  <si>
    <t>2S4UI</t>
  </si>
  <si>
    <t>Green Published</t>
  </si>
  <si>
    <t>WOS:000821788500002</t>
  </si>
  <si>
    <t>Micro and nano plastics in groundwater systems: A review of current knowledge and future perspectives</t>
  </si>
  <si>
    <t>Groundwater is a critical resource for drinking, agriculture, and domestic purposes but is under threat from micro and nano plastic (MNP) pollution. MNPs can contaminate aquifers through various sources such as industrial abrasives, personal care products, wastewater, and improper waste management. MNPs can enter groundwater through leaching or penetration and pose a risk to drinking water sources. Agriculture, municipal waste disposal, tire abrasion, and littering are major sources of MNP pollution in the soil. Despite increasing concern, knowledge about the occurrence and impacts of MNP in groundwater is still limited. Further research is necessary to understand the impact and mitigation strategies of MNP contamination. This review discusses the level of contamination, fate of MNPs in aquifers, transportation mechanisms, and potential impacts on human health. The study highlights the importance of implementing sustainable waste management practices to reduce MNP contamination in groundwater. &amp; COPY; 2023 Elsevier B.V. All rights reserved.</t>
  </si>
  <si>
    <t>10.1016/j.trac.2023.117119</t>
  </si>
  <si>
    <t>Gundogdu, S; Mihai, FC; Fischer, EK; Blettler, MCM; Turgay, OC; Akca, MO; Aydogan, B; Ayat, B</t>
  </si>
  <si>
    <t>Gundogdu, Sedat; Mihai, Florin-Constantin; Fischer, Elke Kerstin; Blettler, Martin C. M.; Turgay, Oguz Can; Akca, Muhittin Onur; Aydogan, Burak; Ayat, Berna</t>
  </si>
  <si>
    <t>TRAC-TRENDS IN ANALYTICAL CHEMISTRY</t>
  </si>
  <si>
    <t>Microplastics; Nanoplastics; Groundwater pollution; Aquifer; Soil pollution</t>
  </si>
  <si>
    <t>POROUS-MEDIA; MICROPLASTICS; TRANSPORT; WATER; RETENTION; COLLOIDS; SOILS; SHAPE</t>
  </si>
  <si>
    <t>[Gundogdu, Sedat] Cukurova Univ, Fac Fisheries, Dept Basic Sci, TR-01330 Adana, Turkiye; [Mihai, Florin-Constantin] Alexandru Ioan Cuza Univ, Inst Interdisciplinary Res, CERNESIM Environm Res Ctr, Iasi 700506, Romania; [Fischer, Elke Kerstin] Univ Hamburg, Ctr Earth Syst Res &amp; Sustainabil, D-20146 Hamburg, Germany; [Blettler, Martin C. M.] Consejo Nacl Invest Cient &amp; Tecn, Natl Inst Limnol INALI, UNL, Santa Fe, Argentina; [Turgay, Oguz Can; Akca, Muhittin Onur] Ankara Univ, Fac Agr, Dept Soil Sci &amp; Plant Nutr, TR-06110 Ankara, Turkiye; [Aydogan, Burak] Gebze Tech Univ, Dept Civil Engn, TR-41400 Kocaeli, Turkiye; [Ayat, Berna] Yildiz Tech Univ, Dept Civil Engn, TR-34200 Istanbul, Turkiye</t>
  </si>
  <si>
    <t>Cukurova University; Alexandru Ioan Cuza University; University of Hamburg; Consejo Nacional de Investigaciones Cientificas y Tecnicas (CONICET); National University of the Littoral; Ankara University; Gebze Technical University; Yildiz Technical University</t>
  </si>
  <si>
    <t>Gundogdu, S (corresponding author), Cukurova Univ, Fac Fisheries, Dept Basic Sci, TR-01330 Adana, Turkiye.</t>
  </si>
  <si>
    <t>Fischer, Elke Kerstin/AAP-2266-2021</t>
  </si>
  <si>
    <t>Fischer, Elke Kerstin/0000-0002-2892-8658; AKCA, Muhittin Onur/0000-0003-4540-9371</t>
  </si>
  <si>
    <t>Ministry of Research, Innovation, Digitization (Romania) CNCS- UEFISCDI [PN-III-P1-1.1-TE-2021-0 075]; Scientific Research Projects unit of ;ukurova University [FBA-2023-15165]</t>
  </si>
  <si>
    <t>Ministry of Research, Innovation, Digitization (Romania) CNCS- UEFISCDI; Scientific Research Projects unit of ;ukurova University</t>
  </si>
  <si>
    <t>The work of Florin Constantin Mihai is supported by the Ministry of Research, Innovation, Digitization (Romania) CNCS- UEFISCDI grant no PN-III-P1-1.1-TE-2021-0 075 within PNCDI III. Sedat Guendogdu's work is further supported by project number FBA-2023-15165 from the Scientific Research Projects unit of Cukurova University.</t>
  </si>
  <si>
    <t>0165-9936</t>
  </si>
  <si>
    <t>1879-3142</t>
  </si>
  <si>
    <t>TRAC-TREND ANAL CHEM</t>
  </si>
  <si>
    <t>Trac-Trends Anal. Chem.</t>
  </si>
  <si>
    <t>JUN 2023</t>
  </si>
  <si>
    <t>Chemistry, Analytical</t>
  </si>
  <si>
    <t>Chemistry</t>
  </si>
  <si>
    <t>L9CB0</t>
  </si>
  <si>
    <t>WOS:001026159200001</t>
  </si>
  <si>
    <t>Marine litter problem in the southern Black Sea coastal area: An overview of the big pressure in Sinop</t>
  </si>
  <si>
    <t>Marine litter is one of the most important pollution problems of today. It has been observed in all marine ecosystems and has a big pressure on marine coastal environment. The Black Sea is one of the most important European seas and gets its share from this pollution. Sinop, located right at the middle of the southern Black Sea coast, is a settlement with prominent fishing and tourism and no industrial pollution. The most important components of marine pollution in the city are domestic solid wastes, urban sewage systems and fishing and shipping activities. In addition to these components, physical factors such as currents, waves and winds cause pollution pressure in the region. In this research, pollution pressure from marine litter has been focused on Sinop, which is a small city with a relatively low population and pollutant load.</t>
  </si>
  <si>
    <t>Oztekin, A; Bat, L</t>
  </si>
  <si>
    <t>Oztekin, Aysah; Bat, Levent</t>
  </si>
  <si>
    <t>Marine litter; plastic; pollution; Sinop; Black Sea</t>
  </si>
  <si>
    <t>ACCUMULATION; DEBRIS; SIDE</t>
  </si>
  <si>
    <t>[Oztekin, Aysah; Bat, Levent] Univ Sinop, Fac Fisheries, Dept Hydrobiol, Sinop, Turkey</t>
  </si>
  <si>
    <t>Sinop University</t>
  </si>
  <si>
    <t>Bat, L (corresponding author), Univ Sinop, Fac Fisheries, Dept Hydrobiol, Sinop, Turkey.</t>
  </si>
  <si>
    <t>leventbat@gmail.com</t>
  </si>
  <si>
    <t>TUBITAK [115Y002]; Sinop University for Scientific Research Project [SUF-1901-18-48]</t>
  </si>
  <si>
    <t>TUBITAK(Turkiye Bilimsel ve Teknolojik Arastirma Kurumu (TUBITAK)); Sinop University for Scientific Research Project</t>
  </si>
  <si>
    <t>Research was part of projects supported by TUBITAK; project number: 115Y002 and Sinop University for Scientific Research Project; project number SUF-1901-18-48.</t>
  </si>
  <si>
    <t>WOS:000637180200009</t>
  </si>
  <si>
    <t>Chemical Pneumonia Due to Paint Thinner Ingestion: A Case Report and Literature Review</t>
  </si>
  <si>
    <t>Paint thinner is an organic solvent which includes aromatic hydrocarbons and is widely used in the paint, varnish, and plastic products industries. Regular inhalation of such solvents is known to cause chronic intoxication. Oral thinner over-exposure is rare but quite fatal. Volatile liquids can cause pulmonary complications even with oral ingestion. Therefore, in patients with oral volatile liquid thinner intake, emergency physicians should be aware of local complications as well as the systematic effect even with initial normal physical or radiological findings. In this report, we present a patient with chemical pneumonia due to self-vomiting after accidentally drinking paint thinner.</t>
  </si>
  <si>
    <t>10.4274/eajem.galenos.2018.24482</t>
  </si>
  <si>
    <t>Kocak, M; Aciksari, K</t>
  </si>
  <si>
    <t>Kocak, Mehmet; Aciksari, Kurtulus</t>
  </si>
  <si>
    <t>EURASIAN JOURNAL OF EMERGENCY MEDICINE</t>
  </si>
  <si>
    <t>Chemical pneumonitis; thinner; hydrocarbons; ingestion</t>
  </si>
  <si>
    <t>[Kocak, Mehmet] Fatih Sultan Mehmet Training &amp; Res Hosp, Clin Emergency Med, Istanbul, Turkey; [Aciksari, Kurtulus] Istanbul Medeniyet Univ, Dept Emergency Med, Fac Med, Istanbul, Turkey</t>
  </si>
  <si>
    <t>Fatih Sultan Mehmet Training &amp; Research Hospital; Istanbul Medeniyet University</t>
  </si>
  <si>
    <t>Kocak, M (corresponding author), Fatih Sultan Mehmet Training &amp; Res Hosp, Clin Emergency Med, Istanbul, Turkey.</t>
  </si>
  <si>
    <t>dr.mehmetkocak@gmail.com</t>
  </si>
  <si>
    <t>Aciksari, Kurtulus/IQS-7687-2023; Kocak, Mehmet/AAE-2382-2019</t>
  </si>
  <si>
    <t>Kocak, Mehmet/0000-0003-0782-390X; Aciksari, Kurtulus/0000-0002-0749-4651</t>
  </si>
  <si>
    <t>EMERGENCY MEDICINE PHYSICIANS ASSOC TURKEY</t>
  </si>
  <si>
    <t>ANKARA</t>
  </si>
  <si>
    <t>YUKARI AYRANCI GLERYUZ SK NO 26-19, ANKARA, CANKAYA 06550, TURKEY</t>
  </si>
  <si>
    <t>2149-5807</t>
  </si>
  <si>
    <t>2149-6048</t>
  </si>
  <si>
    <t>EURASIAN J EMERG MED</t>
  </si>
  <si>
    <t>Eurasian J. Emerg. Med.</t>
  </si>
  <si>
    <t>Emergency Medicine</t>
  </si>
  <si>
    <t>JD0QL</t>
  </si>
  <si>
    <t>gold, Green Submitted</t>
  </si>
  <si>
    <t>WOS:000489680800011</t>
  </si>
  <si>
    <t>A review of current and future food applications of natural hydrocolloids</t>
  </si>
  <si>
    <t>The main aim of this review paper was to focus on current and potential future sources and food applications of natural hydrocolloids in the food industry. The emerging research trends, problems, new methods and alternative approaches in production, environmental concerns, market trends and newly discovered health benefits have been discussed for natural hydrocolloids of commercial relevance. The rheological and surface active properties, interactions, functional properties, films and coatings, encapsulation applications and nanotechnology uses of natural hydrocolloids have been discussed in the light of recent developments. This review also reflected the most up-to-date concepts of applying natural hydrocolloids to meet consumer's and food sector's sophisticated demands related to food products.</t>
  </si>
  <si>
    <t>10.1111/ijfs.14363</t>
  </si>
  <si>
    <t>Yemenicioglu, A; Farris, S; Turkyilmaz, M; Gulec, S</t>
  </si>
  <si>
    <t>Yemenicioglu, Ahmet; Farris, Stefano; Turkyilmaz, Meltem; Gulec, Sukru</t>
  </si>
  <si>
    <t>INTERNATIONAL JOURNAL OF FOOD SCIENCE AND TECHNOLOGY</t>
  </si>
  <si>
    <t>Encapsulation; food applications; functional properties; health benefits; nanotechnology; Natural hydrocolloids; packaging</t>
  </si>
  <si>
    <t>PROTEIN ISOLATE COATINGS; LACTIC-ACID BACTERIA; OXYGEN BARRIER; STARCH NANOCRYSTALS; AMYLOID FIBRILS; DIETARY FIBER; PLASTIC FILMS; GASTROINTESTINAL DIGESTION; POLYPROPYLENE FILMS; THERMAL-PROPERTIES</t>
  </si>
  <si>
    <t>[Yemenicioglu, Ahmet; Gulec, Sukru] Izmir Inst Technol, Dept Food Engn, TR-35430 Izmir, Turkey; [Farris, Stefano] Univ Milan, DeFENS, Dept Food Environm &amp; Nutr Sci, Packaging Div, Via Celoria 2, I-20133 Milan, Italy; [Turkyilmaz, Meltem] Ankara Univ, Inst Food Safety, TR-06110 Ankara, Turkey; [Gulec, Sukru] Izmir Inst Technol, Dept Mol Nutr &amp; Human Physiol Lab, TR-35430 Izmir, Turkey</t>
  </si>
  <si>
    <t>Izmir Institute of Technology; University of Milan; Ankara University; Izmir Institute of Technology</t>
  </si>
  <si>
    <t>Yemenicioglu, A (corresponding author), Izmir Inst Technol, Dept Food Engn, TR-35430 Izmir, Turkey.</t>
  </si>
  <si>
    <t>ahmetyemenicioglu@iyte.edu.tr</t>
  </si>
  <si>
    <t>gulec, sukru/HJP-5797-2023; Yemenicioğlu, Ahmet/AAZ-4937-2020; Farris, Stefano/J-3257-2016; Türkylmaz, Meltem/AAB-2859-2021</t>
  </si>
  <si>
    <t xml:space="preserve">gulec, sukru/0000-0002-6789-1050; </t>
  </si>
  <si>
    <t>WILEY</t>
  </si>
  <si>
    <t>HOBOKEN</t>
  </si>
  <si>
    <t>111 RIVER ST, HOBOKEN 07030-5774, NJ USA</t>
  </si>
  <si>
    <t>0950-5423</t>
  </si>
  <si>
    <t>1365-2621</t>
  </si>
  <si>
    <t>INT J FOOD SCI TECH</t>
  </si>
  <si>
    <t>Int. J. Food Sci. Technol.</t>
  </si>
  <si>
    <t>SI</t>
  </si>
  <si>
    <t>SEP 2019</t>
  </si>
  <si>
    <t>Food Science &amp; Technology</t>
  </si>
  <si>
    <t>KX4BH</t>
  </si>
  <si>
    <t>WOS:000487980900001</t>
  </si>
  <si>
    <t>Water Quality and Water Pollution in Time of COVID-19: Positive and Negative Repercussions</t>
  </si>
  <si>
    <t>On 11 March 2020, the World Health Organization declared the new COVID-19 disease a pandemic. Most countries responded with a lockdown to reduce its effects, which brought beneficial consequences to the environment in many regions, but the pandemic also raised a series of challenges. This review proposes an assessment of the COVID-19 pandemic positive and negative impacts on water bodies on different continents. By applying a search protocol on the Web of Science platform, a scientific bank of 35 compatible studies was obtained out of the 62 open-access articles that were initially accessible. Regarding the positive impacts, the SARS-CoV-2 monitoring in sewage waters is a useful mechanism in the promptly exposure of community infections and, during the pandemic, many water bodies all over the world had lower pollution levels. The negative impacts are as follows: SARS-CoV-2 presence in untreated sewage water amplifies the risk to human health; there is a lack of adequate elimination processes of plastics, drugs, and biological pollution in wastewater treatment plants; the amount of municipal and medical waste that pollutes water bodies increased; and waste recycling decreased. Urgent preventive measures need to be taken to implement effective solutions for water protection.</t>
  </si>
  <si>
    <t>10.3390/w14071124</t>
  </si>
  <si>
    <t>Manoiu, VM; Kubiak-Wojcicka, K; Craciun, AI; Akman, C; Akman, E</t>
  </si>
  <si>
    <t>Manoiu, Valentina-Mariana; Kubiak-Wojcicka, Katarzyna; Craciun, Alexandru-Ioan; Akman, Cigdem; Akman, Elvettin</t>
  </si>
  <si>
    <t>WATER</t>
  </si>
  <si>
    <t>water quality; water pollution; COVID-19; pandemic; lockdown; positive and negative impacts</t>
  </si>
  <si>
    <t>IMPACTS; ENVIRONMENT; LOCKDOWN</t>
  </si>
  <si>
    <t>[Manoiu, Valentina-Mariana; Craciun, Alexandru-Ioan] Univ Bucharest, Fac Geog, Dept Meteorol &amp; Hydrol, Bucharest 010041, Romania; [Kubiak-Wojcicka, Katarzyna] Nicolaus Copernicus Univ, Fac Earth Sci &amp; Spatial Management, Dept Hydrol &amp; Water Management, Lwowska 1, PL-87100 Torun, Poland; [Craciun, Alexandru-Ioan] IUCN Europe Reg Off, Bd Louis Schmidt 64, B-1040 Brussels, Belgium; [Akman, Cigdem; Akman, Elvettin] Suleyman Demirel Univ, Dept Polit Sci &amp; Publ Adm, TR-322260 Isparta, Turkey</t>
  </si>
  <si>
    <t>University of Bucharest; Nicolaus Copernicus University; Suleyman Demirel University</t>
  </si>
  <si>
    <t>Manoiu, VM (corresponding author), Univ Bucharest, Fac Geog, Dept Meteorol &amp; Hydrol, Bucharest 010041, Romania.;Kubiak-Wojcicka, K (corresponding author), Nicolaus Copernicus Univ, Fac Earth Sci &amp; Spatial Management, Dept Hydrol &amp; Water Management, Lwowska 1, PL-87100 Torun, Poland.</t>
  </si>
  <si>
    <t>valentina.manoiu@geo.unibuc.ro; kubiak@umk.pl; alexandru.craciun@iucn.org; cigdemakman@sdu.edu.tr; elvettinakman@sdu.edu.tr</t>
  </si>
  <si>
    <t>Akman, Elvettin/CAH-0576-2022</t>
  </si>
  <si>
    <t>Kubiak-Wojcicka, Katarzyna/0000-0002-9863-3142</t>
  </si>
  <si>
    <t>2073-4441</t>
  </si>
  <si>
    <t>WATER-SUI</t>
  </si>
  <si>
    <t>Water</t>
  </si>
  <si>
    <t>0K4KD</t>
  </si>
  <si>
    <t>WOS:000780758200001</t>
  </si>
  <si>
    <t>Making obstetrics more environmentally sustainable during and beyond the COVID-19 pandemic</t>
  </si>
  <si>
    <t>The climate crisis has increased the burden of obstetrical care due to the negative impact of environmental disruption on the health of pregnant women, new mothers, foetuses and neonates. During the COVID-19 pandemic, the ecological footprint of obstetrical care has significantly increased due to the use of personal protective equipment and the provision of large-scale testing and vaccination of pregnant women and healthcare personnel against COVID-19. The situation calls for coordinated action to make obstetrics more resource efficient. To achieve this goal, obstetricians need to rationalise the use of electricity, water, paper and plastic, adopt green surgical practices and integrate environmental sustainability in their working culture and personal life at large. The present article discusses the main sources of environmental pollution in obstetrical care and proposes evidence-based solutions.</t>
  </si>
  <si>
    <t>10.1002/hpm.3493</t>
  </si>
  <si>
    <t>Eleftheriades, A; Tsagkaris, C; Gozderesi, Y; Panagopoulos, P</t>
  </si>
  <si>
    <t>Eleftheriades, Anna; Tsagkaris, Christos; Gozderesi, Yakup; Panagopoulos, Periklis</t>
  </si>
  <si>
    <t>INTERNATIONAL JOURNAL OF HEALTH PLANNING AND MANAGEMENT</t>
  </si>
  <si>
    <t>carbon footprint; climate change; environmental sustainability; gynaecology; obstetrics</t>
  </si>
  <si>
    <t>[Eleftheriades, Anna] Natl &amp; Kapodistrian Univ Athens, Med Sch, Postgrad Programme Fetal Maternal Med, 76 Vasilissis Sofias St, Athens 11528, Greece; [Tsagkaris, Christos] Publ Hlth &amp; Policy Working Grp, European Student Think Tank, Amsterdam, Netherlands; [Gozderesi, Yakup] Marmara Univ, Sch Med, Istanbul, Turkey; [Panagopoulos, Periklis] Natl &amp; Kapodistrian Univ Athens, Attikon Univ Hosp, Fac Med, Dept Obstet &amp; Gynecol 3, Athens, Greece</t>
  </si>
  <si>
    <t>National &amp; Kapodistrian University of Athens; Marmara University; National &amp; Kapodistrian University of Athens; University Hospital Attikon</t>
  </si>
  <si>
    <t>Eleftheriades, A (corresponding author), Natl &amp; Kapodistrian Univ Athens, Med Sch, Postgrad Programme Fetal Maternal Med, 76 Vasilissis Sofias St, Athens 11528, Greece.</t>
  </si>
  <si>
    <t>annielefth-28@hotmail.com</t>
  </si>
  <si>
    <t>Tsagkaris, Christos/Y-5951-2019</t>
  </si>
  <si>
    <t>Tsagkaris, Christos/0000-0002-4250-574X; Gozderesi, Yakup/0000-0003-4229-6391</t>
  </si>
  <si>
    <t>0749-6753</t>
  </si>
  <si>
    <t>1099-1751</t>
  </si>
  <si>
    <t>INT J HEALTH PLAN M</t>
  </si>
  <si>
    <t>Int. J. Health Plan. Manag.</t>
  </si>
  <si>
    <t>Health Policy &amp; Services; Public, Environmental &amp; Occupational Health</t>
  </si>
  <si>
    <t>Social Science Citation Index (SSCI)</t>
  </si>
  <si>
    <t>Health Care Sciences &amp; Services; Public, Environmental &amp; Occupational Health</t>
  </si>
  <si>
    <t>4J6SP</t>
  </si>
  <si>
    <t>WOS:000791840400001</t>
  </si>
  <si>
    <t>Resolving the effects of environmental micro- and nanoplastics exposure in biota: A knowledge gap analysis</t>
  </si>
  <si>
    <t>The pervasive spread of microplastics (MPs) and nanoplastics (NPs) has raised significant concerns on their toxicity in both aquatic and terrestrial environments. These polymer-based materials have implications for plants, wildlife and human health, threatening food chain integrity and ultimate ecosystem resilience. An extensive-and growing-body of literature is available on MP- and NP-associated effects, including in a number of aquatic biota, with as yet limited reports in terrestrial environments. Effects range from no detectable, or very low level, biological effects to more severe outcomes such as (but not limited to) increased mortality rates, altered immune and inflammatory responses, oxidative stress, genetic damage and dysmetabolic changes. A well-established exposure route to MPs and NPs involves ingestion with subsequent incorporation into tissues. MP and NP exposures have also been found to lead to genetic damage, including effects related to mitotic anomalies, or to transmissible damage from sperm cells to their offspring, especially in echinoderms. Effects on the proteome, transcriptome and metabolome warrant ad hoc investigations as these integrated omics workflows could provide greater insight into molecular pathways of effect. Given their different physical structures, chemical identity and presumably different modes of action, exposure to different types of MPs and NPs may result in different biological effects in biota, thus comparative investigations of different MPs and NPs are required to ascertain the respective effects. Furthermore, research on MP and NP should also consider their ability to act as vectors for other toxicants, and possible outcomes of exposure may even include effects at the community level, thus requiring investigations in mesocosm models. (c) 2021 Elsevier B.V. All rights reserved.</t>
  </si>
  <si>
    <t>10.1016/j.scitotenv.2021.146534</t>
  </si>
  <si>
    <t>Thomas, PJ; Perono, G; Tommasi, F; Pagano, G; Oral, R; Buric, P; Kovacic, I; Toscanesi, M; Trifuoggi, M; Lyons, DM</t>
  </si>
  <si>
    <t>Thomas, Philippe J.; Perono, Genevieve; Tommasi, Franca; Pagano, Giovanni; Oral, Rahime; Buric, Petra; Kovacic, Ines; Toscanesi, Maria; Trifuoggi, Marco; Lyons, Daniel M.</t>
  </si>
  <si>
    <t>Microparticle; Nanoparticle; Polymer; Toxicity; Dysmetabolic; Stress</t>
  </si>
  <si>
    <t>CATIONIC POLYSTYRENE NANOPARTICLES; ZEBRAFISH DANIO-RERIO; COLD-WATER CORALS; PLASTIC NANOPARTICLES; VIRGIN MICROPLASTICS; DAPHNIA-MAGNA; AQUATIC ENVIRONMENTS; BIOMARKER RESPONSES; LARVAL DEVELOPMENT; BRINE SHRIMP</t>
  </si>
  <si>
    <t>[Thomas, Philippe J.] Carleton Univ, Natl Wildlife Res Ctr, Environm &amp; Climate Change Canada Sci &amp; Technol Br, Ottawa, ON K1A 0H3, Canada; [Perono, Genevieve] McMaster Univ, Dept Obstet &amp; Gynecol, Hamilton, ON L8N 3Z5, Canada; [Tommasi, Franca] Aldo Moro Bari Univ, Dept Biol, I-70125 Bari, Italy; [Pagano, Giovanni; Toscanesi, Maria; Trifuoggi, Marco] Federico II Naples Univ, I-80126 Naples, Italy; [Oral, Rahime] Ege Univ, Fac Fisheries, TR-35100 Izmir, Turkey; [Buric, Petra; Kovacic, Ines] Juraj Dobrila Univ Pula, HR-52100 Pula, Croatia; [Lyons, Daniel M.] Rudjer Boskovic Inst, Ctr Marine Res, HR-52210 Rovinj, Croatia</t>
  </si>
  <si>
    <t>Carleton University; Environment &amp; Climate Change Canada; Canadian Wildlife Service; National Wildlife Research Centre - Canada; McMaster University; Universita degli Studi di Bari Aldo Moro; University of Naples Federico II; Ege University; University of Juraj Dobrila Pula; Rudjer Boskovic Institute</t>
  </si>
  <si>
    <t>Lyons, DM (corresponding author), Rudjer Boskovic Inst, Ctr Marine Res, HR-52210 Rovinj, Croatia.</t>
  </si>
  <si>
    <t>lyons@irb.hr</t>
  </si>
  <si>
    <t>Thomas, Philippe/ABH-9035-2020; Toscanesi, Maria/AFL-6884-2022; Tommasi, Franca/H-1908-2015; Kovacic, Ines/GXG-5332-2022; Toscanesi, Maria/AAG-6988-2022</t>
  </si>
  <si>
    <t>Tommasi, Franca/0000-0002-6447-5465; toscanesi, maria/0000-0002-7802-1261; Buric, Petra/0000-0002-4075-3934; Perono, Genevieve/0000-0003-1816-3433</t>
  </si>
  <si>
    <t>Croatian Science Foundation [IP-2018-01-5351]; Environment and Climate Change Canada</t>
  </si>
  <si>
    <t>Croatian Science Foundation; Environment and Climate Change Canada</t>
  </si>
  <si>
    <t>Support from the Croatian Science Foundation under project IP-2018-01-5351 is gratefully acknowledged. Thanks are due to Environment and Climate Change Canada for their support.</t>
  </si>
  <si>
    <t>MAR 2021</t>
  </si>
  <si>
    <t>SF9TN</t>
  </si>
  <si>
    <t>Green Accepted</t>
  </si>
  <si>
    <t>WOS:000653089300007</t>
  </si>
  <si>
    <t>A critical review on protein-based smart packaging systems: Understanding the development, characteristics, innovations, and potential applications</t>
  </si>
  <si>
    <t>The use of packaging in the food industry is essential to protect food and improve its shelf life. However, traditional packaging, based on petroleum derivatives, presents some problems because it is non-biodegradable and is obtained from nonrenewable sources. In contrast, protein-based smart packaging is presented as an environmentally friendly strategy that also permits obtaining packaging with excellent characteristics for the formation of smart films and coatings. This review aims to summarize recent developments in smart packaging, focusing on edible films/coatings materials, originating from animal and plant protein sources. Various characteristics like mechanical, barrier, functional, sensory, and sustainability of packaging systems are discussed, and the processes used for their development are also described. Moreover, relevant examples of the application of these smart packaging technologies in muscle foods and some innovations in this area are presented. Protein-based films and coatings from plant and animal origins have great potential to enhance food safety and quality, and reduce environmental issues (e.g., plastic pollution and food waste). Some characteristics of the packages can be improved by incorporating polysaccharides, lipids, and other components as antioxidants, antimicrobials, and nanoparticles in protein-based composites. Promising results have been shown in many muscle foods, such as meat, fish, and other seafood. These innovative smart packaging systems are characterized by their renewable and biodegradable nature, and sustainability, among other features that go beyond typical protection barriers (namely, active, functional, and intelligent features). Nonetheless, the utilization of protein-based responsive films and coatings at industrial level still need optimization to be technologically and economically valid and viable.</t>
  </si>
  <si>
    <t>10.1080/10408398.2023.2202256</t>
  </si>
  <si>
    <t>Echegaray, N; Goksen, G; Kumar, M; Sharma, R; Hassoun, A; Lorenzo, JM; Dar, BN</t>
  </si>
  <si>
    <t>Echegaray, Noemi; Goksen, Gulden; Kumar, Manoj; Sharma, Rajan; Hassoun, Abdo; Lorenzo, Jose M.; Dar, B. N.</t>
  </si>
  <si>
    <t>Biodegradable packaging; intelligent packaging; proteins; shelf life</t>
  </si>
  <si>
    <t>SHELF-LIFE EXTENSION; EDIBLE FILMS; ANTIOXIDANT PROPERTIES; MECHANICAL-PROPERTIES; SKIN GELATIN; EXTRACT; FISH; MEAT; BLEND; ZEIN</t>
  </si>
  <si>
    <t>[Echegaray, Noemi; Lorenzo, Jose M.] Ctr Tecnol Carne Galicia, Avda Galicia 4, Parque Tecnol Galicia, Orense, Spain; [Goksen, Gulden] Tarsus Univ, Vocat Sch Tech Sci Mersin Tarsus Organized Ind Zon, Dept Food Technol, Mersin, Turkiye; [Kumar, Manoj] ICAR Cent Inst Res Cotton Technol, Chem &amp; Biochem Proc Div, Mumbai, India; [Sharma, Rajan] Punjab Agr Univ, Dept Food Sci &amp; Technol, Ludhiana, Punjab, India; [Hassoun, Abdo] Sustainable AgriFoodtech Innovat &amp; Res SAFIR, Arras, France; [Hassoun, Abdo] Syrian Acad Expertise SAE, Gaziantep, Turkiye; [Lorenzo, Jose M.] Univ Vigo, Fac Ciencias Ourense, Area Tecnol Alimentos, Orense, Spain; [Dar, B. N.] Islamic Univ Sci &amp; Technol, Dept Food Technol, Awantipora, Jammu &amp; Kashmir, India; [Hassoun, Abdo] Univ Liege, Univ Picardie Jules Verne, Univ Artois, Univ Lille,Univ Littoral Cote Opale,uMrt Bioecoag, F-62200 Boulogne Sur Mer, France; [Hassoun, Abdo] Sustainable AgriFoodtech Innovat &amp; Res SAFIR, F-62000 Arras, France</t>
  </si>
  <si>
    <t>Tarsus University; Indian Council of Agricultural Research (ICAR); ICAR - Central Institute of Research on Cotton Technology; Punjab Agricultural University; Universidade de Vigo; Picardie Universites; Universite de Picardie Jules Verne (UPJV); Universite d'Artois; Universite de Lille - ISITE; Universite de Lille; Universite du Littoral-Cote-d'Opale</t>
  </si>
  <si>
    <t>Lorenzo, JM (corresponding author), Ctr Tecnol Carne Galicia, Avda Galicia 4, Parque Tecnol Galicia, Orense, Spain.;Lorenzo, JM (corresponding author), Univ Vigo, Fac Ciencias Ourense, Area Tecnol Alimentos, Orense, Spain.;Dar, BN (corresponding author), Islamic Univ Sci &amp; Technol, Dept Food Technol, Awantipora, Jammu &amp; Kashmir, India.</t>
  </si>
  <si>
    <t>jmlorenzo@ceteca.net; darnabi@gmail.com</t>
  </si>
  <si>
    <t>Lorenzo, Jose Manuel/K-6375-2014; Kumar, Manoj/V-6829-2019; Dar, B N/F-5766-2012; Goksen, Gulden/GQQ-1993-2022</t>
  </si>
  <si>
    <t>Lorenzo, Jose Manuel/0000-0002-7725-9294; Kumar, Manoj/0000-0002-4192-6497; Dar, B N/0000-0003-4120-3616; Goksen, Gulden/0000-0002-5432-7936</t>
  </si>
  <si>
    <t>GAIN (Axencia Galega de Innovacion) [IN607A2019/01]; CYTED [119RT0568]</t>
  </si>
  <si>
    <t>GAIN (Axencia Galega de Innovacion); CYTED</t>
  </si>
  <si>
    <t>Thanks to GAIN (Axencia Galega de Innovacion) for supporting this review (grant number IN607A2019/01). Jose M. Lorenzo is member of the Healthy Meat network, funded by CYTED (ref. 119RT0568).</t>
  </si>
  <si>
    <t>2023 APR 19</t>
  </si>
  <si>
    <t>APR 2023</t>
  </si>
  <si>
    <t>E8PR5</t>
  </si>
  <si>
    <t>WOS:000978102000001</t>
  </si>
  <si>
    <t>Include</t>
  </si>
  <si>
    <t>Microplastic litter composition of the Turkish territorial waters of the Mediterranean Sea, and its occurrence in the gastrointestinal tract of fish</t>
  </si>
  <si>
    <t>Microplastic pollution of marine environment is receiving increased publicity over the last few years. The present survey is, according to our knowledge, the survey with the largest sample size analyzed, to date. In total, 1337 specimens of fish were examined for the presence of plastic microlitter representing 28 species and 14 families. In addition, samples of seawater and sediment were also analyzed for the quantification of microplastic in the same region. Samples of water/sediment were collected from 18 locations along the Mediterranean coast of Turkey. 94% of all collected plastic microlitter from the sea was in the size range between 0.1 and 2.5 mm, while the occurrence of other sizes was rare. The quantity of microplastic particles in surface water samples ranged from 16 339 to 520 213 per km(2). Fish were collected from 10 locations from which 8 were either shared with or situated in the proximity of water/sediment sampling locations. A total of 1822 microplastic particles were extracted from stomach and intestines of fish. Majority of ingested particles were represented by fibers (70%) and hard plastic (20.8%), while the share of other groups: nylon (2.7%), rubber (0.8%) and miscellaneous plastic (5.5%) were low. The blue color of plastic was the most dominant color. 34% of all examined fish had microplastic in the stomach. On average, fish which had microplastic contained 1.80 particles per stomach. 41% of all fish had microplastic in the intestines with an average of 1.81 particles per fish. 771 specimens contained microplastic in either stomach and/or intestines representing 58% of the total sample with an average of 2.36 particles per fish. Microplastic was found in all species/families that had sample size of at least 2 individuals. The number of particles present in either stomach or intestines ranged between 1 and 35. Ingested microplastic had an average diameter +/- SD of 656 +/- 803 mu m, however particles as small as 9 gm were detected. The trophic level of fish species had no influence whatsoever on the amount of ingested microplastic. Pelagic fish ingested more microplastic than demersal species. In general, fish that ingested higher number of microplastic particles originated from the sites that also had a higher particle count in the seawater and sediment. (C) 2017 Elsevier Ltd. All rights reserved.</t>
  </si>
  <si>
    <t>10.1016/j.envpol.2017.01.025</t>
  </si>
  <si>
    <t>Guven, O; Gokdag, K; Jovanovic, B; Kideys, AE</t>
  </si>
  <si>
    <t>Guven, Olgac; Goekdag, Kerem; Jovanovic, Boris; Kideys, Ahmet Erkan</t>
  </si>
  <si>
    <t>Microplastic; Plastic; Fish; Pollution; Marine litter; Nanoparticles</t>
  </si>
  <si>
    <t>DEMERSAL FISH; PLASTIC INGESTION; NORTH-SEA; ATLANTIC; ENVIRONMENT; ABUNDANCE; RELEASE</t>
  </si>
  <si>
    <t>[Guven, Olgac; Goekdag, Kerem; Kideys, Ahmet Erkan] Middle East Tech Univ, Inst Marine Sci, Mersin, Turkey; [Jovanovic, Boris] Univ Munich, Fac Vet Med, Fish Dis &amp; Fisheries Biol, Munich, Germany</t>
  </si>
  <si>
    <t>Middle East Technical University; University of Munich</t>
  </si>
  <si>
    <t>Jovanovic, B (corresponding author), Univ Munich, Fac Vet Med, Dept Vet Sci, Fisheries Biol &amp; Fish Dis, Kaulbachstr 37, D-80539 Munich, Germany.</t>
  </si>
  <si>
    <t>nanoaquatox@gmail.com</t>
  </si>
  <si>
    <t>KIDEYS, Ahmet E/Q-1824-2015; GÖKDAĞ, Kerem/GXF-3890-2022; KIDEYS, Ahmet Erkan/HZK-4698-2023; GÜVEN, Olgaç/D-2399-2009</t>
  </si>
  <si>
    <t>GÖKDAĞ, Kerem/0000-0002-3800-0482; GÜVEN, Olgaç/0000-0002-0920-673X; Jovanovic, Boris/0000-0003-3970-805X; KIDEYS, AHMET ERKAN/0000-0002-1113-2434</t>
  </si>
  <si>
    <t>Scientific and Technological Research Council of Turkey (TUBITAK) grants [CAYDAG-114Y244, CAYDAG-115Y627]; DEKOSIM Project (Center for the Marine Ecosystem and Climate Research); Ministry of Development</t>
  </si>
  <si>
    <t>Scientific and Technological Research Council of Turkey (TUBITAK) grants; DEKOSIM Project (Center for the Marine Ecosystem and Climate Research); Ministry of Development(Turkiye Cumhuriyeti Kalkinma Bakanligi)</t>
  </si>
  <si>
    <t>This research was supported through Scientific and Technological Research Council of Turkey (TUBITAK) grants; CAYDAG-114Y244 (Estimating the quantity and composition of micro plastics in the Mediterranean coast of Turkey; the potential for bioaccumulation in seafood) and CAYDAG-115Y627 (Impacts of Microplastic Particles and Bisphenol A as a Chemical Additive in Zooplankton Species of Mersin Bay) as well as DEKOSIM Project (Center for the Marine Ecosystem and Climate Research) supported by the Ministry of Development. We wish to extend our gratitude to Taha Yuce of BRUKER optics for the help with FTIR analysis, as well as to Mehmet Ozalp of IMS-METU for the technical help with sample processing.</t>
  </si>
  <si>
    <t>EP4OJ</t>
  </si>
  <si>
    <t>WOS:000397359500031</t>
  </si>
  <si>
    <t>Exclude</t>
  </si>
  <si>
    <t>Transportation of microplastic during high-flow and low-flow seasons in southeastern Black Sea: A modelling approach</t>
  </si>
  <si>
    <t>Predicting the transportation patterns of microplastic particles is crucial for assessing the environmental risks. The present work studied the transportation and accumulation of floating microplastic particles released from the largest river basin (Degirmendere), on the southeastern Black Sea coast. A total of 2 scenarios were simulated for high-flow and low-flow seasons to predict the effect of freshwater input on the concentration, transportation and accumulation patterns of microplastic particles by using a Lagrangian model; the Estuarine, Coastal Ocean Model with Sediment Transport (ECOMSED) model. Microplastic concentration varied between 168 - 1412 particle/m3 and 0 - 843 particle/m3 in the high-flow and low-flow seasons, respectively. Microplastic particles released from the river showed different accumulation patterns with time. However, the particles tended to accumulate on coastal waters in both scenarios. The present study provides a baseline for determining the hotspots for the accumulation of floating microplastic particles to assess optimal sampling locations and risk assessment in the southeastern Black Sea.</t>
  </si>
  <si>
    <t>10.56042/ijms.v51i08.49207</t>
  </si>
  <si>
    <t>Yazir, D; Terzi, Y; Eruz, C</t>
  </si>
  <si>
    <t>Yazir, D.; Terzi, Y.; Eruz, C.</t>
  </si>
  <si>
    <t>INDIAN JOURNAL OF GEO-MARINE SCIENCES</t>
  </si>
  <si>
    <t>Black Sea; ECOMSED model; Microplastic; Modelling; Plastic; Transportation</t>
  </si>
  <si>
    <t>LITTER COMPOSITION; MARINE LITTER; CONTAMINANTS; ZOOPLANKTON; PLASTICS</t>
  </si>
  <si>
    <t>[Yazir, D.] Karadeniz Tech Univ, Fac Marine Sci, Dept Maritime Transportat &amp; Management Engn, TR-61600 Trabzon, Turkey; [Terzi, Y.] Karadeniz Tech Univ, Fac Marine Sci, Dept Fisheries Technol Engn, TR-61530 Trabzon, Turkey; [Eruz, C.] Karadeniz Tech Univ, Fac Marine Sci, Dept Marine Sci &amp; Technol &amp; Engn, TR-61530 Trabzon, Turkey</t>
  </si>
  <si>
    <t>Karadeniz Technical University; Karadeniz Technical University; Karadeniz Technical University</t>
  </si>
  <si>
    <t>Yazir, D (corresponding author), Karadeniz Tech Univ, Fac Marine Sci, Dept Maritime Transportat &amp; Management Engn, TR-61600 Trabzon, Turkey.</t>
  </si>
  <si>
    <t>dyazir@ktu.edu.tr</t>
  </si>
  <si>
    <t>ERÜZ, coskun/W-2374-2017</t>
  </si>
  <si>
    <t>ERÜZ, coskun/0000-0002-2384-9010</t>
  </si>
  <si>
    <t>NATL INST SCIENCE COMMUNICATION-NISCAIR</t>
  </si>
  <si>
    <t>NEW DELHI</t>
  </si>
  <si>
    <t>DR K S KRISHNAN MARG, PUSA CAMPUS, NEW DELHI 110 012, INDIA</t>
  </si>
  <si>
    <t>0379-5136</t>
  </si>
  <si>
    <t>0975-1033</t>
  </si>
  <si>
    <t>INDIAN J GEO-MAR SCI</t>
  </si>
  <si>
    <t>Indian J. Geo-Mar. Sci.</t>
  </si>
  <si>
    <t>Oceanography</t>
  </si>
  <si>
    <t>K9PT4</t>
  </si>
  <si>
    <t>WOS:001019689100001</t>
  </si>
  <si>
    <t>Microplastic pollution in freshwater ecosystems: A case study from Turkey</t>
  </si>
  <si>
    <t>Microplastic pollution has increased rapidly over recent decades and accepted as an emerging thread. However, the effects and dimensions of microplastic pollution on aquatic ecosystems have not been fully understood yet. Most of these few studies have been carried out in marine ecosystems and the number of studies on freshwater are very limited. This is the first study represents a detailed investigation of microplastic pollution in a freshwater body in Turkey. In this study, microplastic (&lt;5 mm) pollution level of surface water samples taken from Cevdet Pond (Yozgat/Turkey) was investigated. Water samples (150 L) were taken from 5 stations and microplastic particles were extracted via density separation method. Random particles were examined both visually and spectrophotometrically (mu-Raman). According to station averages, there were 233 microplastic particles in 1 m(3) of the pond water. Highest number of MP particles observed in 100-250 mu m (56%) size class. Most abundant microplastic type and colour are fiber (91%) and blue (36%) respectively. Polypropylene (50%) and polyethylene (40%) were the most abundant type of polymers according to mu-Raman analysis. The presence of microplastic pollution in an area where human impact is relatively low, indicates the prevalence of microplastic pollution in freshwater ecosystems.</t>
  </si>
  <si>
    <t>10.12714/egejfas.37.3.02</t>
  </si>
  <si>
    <t>Erdogan, S</t>
  </si>
  <si>
    <t>Erdogan, Seyda</t>
  </si>
  <si>
    <t>microplastic pollution; mu-Raman; plastic waste; freshwater; pond</t>
  </si>
  <si>
    <t>MARINE-ENVIRONMENT; LEVANTINE COAST; PLASTIC DEBRIS; LAKE-ONTARIO; RIVER-BASIN; SEDIMENTS; CONTAMINATION; INGESTION; SEA; BAY</t>
  </si>
  <si>
    <t>[Erdogan, Seyda] Yozgat Bozok Univ, Fac Sci &amp; Art, Dept Biol, Yozgat, Turkey</t>
  </si>
  <si>
    <t>Bozok University</t>
  </si>
  <si>
    <t>Erdogan, S (corresponding author), Yozgat Bozok Univ, Fac Sci &amp; Art, Dept Biol, Yozgat, Turkey.</t>
  </si>
  <si>
    <t>erdogan.seyda@gmail.com</t>
  </si>
  <si>
    <t>Erdogan, Seyda/0000-0001-7729-7664</t>
  </si>
  <si>
    <t>Su Urun. Derg.</t>
  </si>
  <si>
    <t>PP3EZ</t>
  </si>
  <si>
    <t>WOS:000605750800002</t>
  </si>
  <si>
    <t>Microplastic pollution threat in table salt that an abiotic sea product</t>
  </si>
  <si>
    <t>In the nature, the plastics are broken down to smaller pieces, producing microplastics (&lt;5mm), through exposure to elements such as air, wind, sunlight, water, as well as due to anthropogenic effects. Microplastic pollution is a problem that we are just beginning to understand. Even though an increase in the number of studies on microplastic pollution in the environment and in water has seen some increase recently, studies focusing on microplastic pollutions in food, and their effect on health are few and far between. Table salt is obtained from natural resources such as the sea, lakes, and rocks (wells), using very simple production techniques. As an abiotic aquatic product, salt is a widely used foodstuff, constituting one leg of the so-called three whites. The present study analyzed the level of microplastic pollution in tablesalts (food), deemed a basic foodstuff, and procured from the supermarkets in Turkey. The analyses revealed that the microplastic counts observed in table salt samples are not negligible at all. The amounts of average MP in rock salt, sea salt and lake salt were found to be 28, 56 and 63, respectively.</t>
  </si>
  <si>
    <t>10.12714/egejfas.2018.35.3.03</t>
  </si>
  <si>
    <t>Salt (NaCl); microplastics; anthropogenic; pollution; food; Turkey</t>
  </si>
  <si>
    <t>PERSISTENT ORGANIC POLLUTANTS; MARINE; TRANSPORT; PLASTICS; PARTICLES; SEDIMENTS; SORPTION; LITTER; WASTE</t>
  </si>
  <si>
    <t>[Yurtsever, Meral] Sakarya Univ, Muhendislik Fak, Cevre Muhendisligi Bolumu, Sakarya, Turkey</t>
  </si>
  <si>
    <t>Yurtsever, M (corresponding author), Sakarya Univ, Muhendislik Fak, Cevre Muhendisligi Bolumu, Sakarya, Turkey.</t>
  </si>
  <si>
    <t>HH9XH</t>
  </si>
  <si>
    <t>WOS:000456094300003</t>
  </si>
  <si>
    <t>Wastewater Treatment Plants as a Point Source of Plastic Pollution</t>
  </si>
  <si>
    <t>As a consequence of large plastic production rates, plastic waste accumulation in different ecosystems has rapidly increased all over the world. The level of microplastic pollution in different ecosystems has become better understood today with many studies conducted in recent years. However, in order to prevent the increase in microplastic pollution, it is of great importance to determine the sources. Wastewater treatment plants (WWTPs), where domestic and industrial wastewater containing microplastic (MP) particles are collected and treated, are important facilities to estimate the plastic waste release amount to the environment. For this reason, it is essential to determine the contribution of wastewater treatment plants to microplastic pollution. This study aimed to investigate the microplastic and mesoplastic removal rate of the WWTP in Yozgat (Turkey). Water samples for micro- and mesoplastic were taken from the inlet and outlet of the WWTP. The highest MP concentrations were observed in the influent samples. The average MP number observed in influent was 46.5 +/- 11.6 L-1 and 61.4 +/- 11.7 L-1 for March and September, respectively. On the other hand, the average MP number of effluent was 1.6 +/- 0.7 and 2.2 +/- 0.5 L-1 for March and September, respectively. The MP abundance of sludge was 5.7 +/- 1.4 MP particle/g. Moreover, mesoplastic abundance was 0.06 +/- 0.026 L-1 for influent, and mesoplastic particle was not observed in any of effluent sample. According to the Raman and FTIR analysis results, the most observed polymer derivatives were polystyrene (PS), polyvinyl chloride (PVC), and epoxy, and their percentages were 15.9%, 15.9%, and 11.3%, respectively. According to the results obtained in this study, the MP retain capacity of the WWTP was calculated as 96.7%, while all the mesoplastics were retained.</t>
  </si>
  <si>
    <t>10.1007/s11270-022-05962-6</t>
  </si>
  <si>
    <t>Altug, H; Erdogan, S</t>
  </si>
  <si>
    <t>Altug, Hasan; Erdogan, Seyda</t>
  </si>
  <si>
    <t>WATER AIR AND SOIL POLLUTION</t>
  </si>
  <si>
    <t>Sewage sludge; Plastic pollution; Wastewater treatment plant; Microplastic; Mesoplastic</t>
  </si>
  <si>
    <t>MICROPLASTIC POLLUTION; FRESH-WATER; FATE; INGESTION; SEDIMENTS; DAPHNIA; ECOSYSTEMS; ORGANISMS; PARTICLES; ESTUARIES</t>
  </si>
  <si>
    <t>[Altug, Hasan; Erdogan, Seyda] Yozgat Bozok Univ, Fac Sci &amp; Art, Dept Biol, TR-66900 Yozgat, Turkey</t>
  </si>
  <si>
    <t>Erdogan, S (corresponding author), Yozgat Bozok Univ, Fac Sci &amp; Art, Dept Biol, TR-66900 Yozgat, Turkey.</t>
  </si>
  <si>
    <t>Project Coordination Application and Research Center of Bozok University [6601-FBE/19-317]</t>
  </si>
  <si>
    <t>Project Coordination Application and Research Center of Bozok University</t>
  </si>
  <si>
    <t>This work was supported by grants from the Project Coordination Application and Research Center of Bozok University (6601-FBE/19-317).</t>
  </si>
  <si>
    <t>SPRINGER INT PUBL AG</t>
  </si>
  <si>
    <t>CHAM</t>
  </si>
  <si>
    <t>GEWERBESTRASSE 11, CHAM, CH-6330, SWITZERLAND</t>
  </si>
  <si>
    <t>0049-6979</t>
  </si>
  <si>
    <t>1573-2932</t>
  </si>
  <si>
    <t>WATER AIR SOIL POLL</t>
  </si>
  <si>
    <t>Water Air Soil Pollut.</t>
  </si>
  <si>
    <t>Environmental Sciences; Meteorology &amp; Atmospheric Sciences; Water Resources</t>
  </si>
  <si>
    <t>Environmental Sciences &amp; Ecology; Meteorology &amp; Atmospheric Sciences; Water Resources</t>
  </si>
  <si>
    <t>6I5XO</t>
  </si>
  <si>
    <t>WOS:000886201000002</t>
  </si>
  <si>
    <t>High levels of microplastic ingestion by commercial, planktivorous Alburnus tarichi in Lake Van, Turkey</t>
  </si>
  <si>
    <t>Microplastic pollution of inland environments has been receiving increased publicity over the last few years. For the first time, this study reports on the presence of microplastics (0.1 mm to &lt;5 mm) in the gastrointestinal tracts of Alburnus tarichi in Lake Van from January to April 2020. In total, 101 fishes were obtained from Citoren, Edremit, Gevas and Dagonu fisheries regions. A total of 3338 pieces of plastic, ranging from 8 to 124 samples per fish with averaging 34 +/- 13 MPs/individual, were extracted from gastrointestinal tracts of fish. The majority of the ingested particles consisted of fibres (74%), and blue coloured material was the most consumed microplastic. The polymers identified by Fourier Transform Infrared Spectroscopy (FTIR) were polyethylene and polypropylene. Consequently, this study suggested that the vast majority of A. tarichi were contaminated with microplastics and showed higher abundance in comparison with other worldwide studies so far.</t>
  </si>
  <si>
    <t>10.1080/19440049.2021.1941304</t>
  </si>
  <si>
    <t>Atici, AA; Sepil, A; Sen, F</t>
  </si>
  <si>
    <t>Atici, Ataman Altug; Sepil, Ahmet; Sen, Fazil</t>
  </si>
  <si>
    <t>FOOD ADDITIVES AND CONTAMINANTS PART A-CHEMISTRY ANALYSIS CONTROL EXPOSURE &amp; RISK ASSESSMENT</t>
  </si>
  <si>
    <t>Microplastic contamination; planktivorous fish; ingestion; pollution; Lake Van</t>
  </si>
  <si>
    <t>NORTH-SEA; PLASTIC INGESTION; GASTROINTESTINAL-TRACT; EASTERN ANATOLIA; SURFACE WATERS; DEMERSAL FISH; ACCUMULATION; CONTAMINATION; POLLUTION; LITTER</t>
  </si>
  <si>
    <t>[Atici, Ataman Altug; Sepil, Ahmet; Sen, Fazil] Van Yuzuncu Yil Univ, Dept Basic Sci, Fac Fisheries, Zeve Campus, TR-65080 Tusba, Van, Turkey</t>
  </si>
  <si>
    <t>Yuzuncu Yil University</t>
  </si>
  <si>
    <t>Atici, AA (corresponding author), Van Yuzuncu Yil Univ, Dept Basic Sci, Fac Fisheries, Zeve Campus, TR-65080 Tusba, Van, Turkey.</t>
  </si>
  <si>
    <t>atamanaltug@yyu.edu.tr</t>
  </si>
  <si>
    <t>Sen, Fazil/HGT-9366-2022</t>
  </si>
  <si>
    <t>Atici, Ataman Altug/0000-0001-8700-8969; Sepil, Ahmet/0000-0002-3201-5181</t>
  </si>
  <si>
    <t>1944-0049</t>
  </si>
  <si>
    <t>1944-0057</t>
  </si>
  <si>
    <t>FOOD ADDIT CONTAM A</t>
  </si>
  <si>
    <t>Food Addit. Contam. Part A-Chem.</t>
  </si>
  <si>
    <t>OCT 3</t>
  </si>
  <si>
    <t>JUL 2021</t>
  </si>
  <si>
    <t>Chemistry, Applied; Food Science &amp; Technology; Toxicology</t>
  </si>
  <si>
    <t>Chemistry; Food Science &amp; Technology; Toxicology</t>
  </si>
  <si>
    <t>WH2YX</t>
  </si>
  <si>
    <t>WOS:000670831100001</t>
  </si>
  <si>
    <t>High level of micro-plastic pollution in the Iskenderun Bay NE Levantine coast of Turkey</t>
  </si>
  <si>
    <t>Microplastic pollution is a global problem. The Mediterranean Sea, especially, has high pressure of pollution as it is enclosed by highly populated and industrialized countries. In this study, we have determined the level of microplastic pollution in the Iskenderun Bay, located in the Northeastern Levantine coast of Turkey. The average level of microplastic has been determined to be 1,067,120 particles/km(2) at fourteen stations. The highest level has been determined at the M4 station in the middle of the bay (with 1820 items; 2,888,889 particles/km(2)), and the lowest level has been found at the M11 station (62 items; 98,412 particles/km(2)). As a result of this study, it was determined that the microplastic pollution level in the Iskenderun Bay is higher than the other regions of the Mediterranean Sea.</t>
  </si>
  <si>
    <t>10.12714/egejfas.2017.34.4.06</t>
  </si>
  <si>
    <t>Gundogdu, S</t>
  </si>
  <si>
    <t>Gundogdu, Sedat</t>
  </si>
  <si>
    <t>Microplastic; Marine litter; Levantine Sea; Iskenderun Bay</t>
  </si>
  <si>
    <t>WESTERN MEDITERRANEAN SEA; MARINE-ENVIRONMENT; PELAGIC ECOSYSTEMS; PACIFIC-OCEAN; MICROPLASTICS; DEBRIS; ZOOPLANKTON; PARTICLES</t>
  </si>
  <si>
    <t>[Gundogdu, Sedat] Cukurova Univ, Dept Basic Sci, Fac Fisheries, TR-01330 Adana, Turkey</t>
  </si>
  <si>
    <t>Cukurova University</t>
  </si>
  <si>
    <t>Gundogdu, S (corresponding author), Cukurova Univ, Dept Basic Sci, Fac Fisheries, TR-01330 Adana, Turkey.</t>
  </si>
  <si>
    <t>Gündoğdu, Sedat/B-4475-2018</t>
  </si>
  <si>
    <t>Gündoğdu, Sedat/0000-0002-4415-2837</t>
  </si>
  <si>
    <t>Scientific Research Project Unit of Cukurova University [FBA-2016-7043]</t>
  </si>
  <si>
    <t>Scientific Research Project Unit of Cukurova University(Cukurova University)</t>
  </si>
  <si>
    <t>This study was funded by the Scientific Research Project Unit of Cukurova University under grant number FBA-2016-7043.</t>
  </si>
  <si>
    <t>SU URUN DERG</t>
  </si>
  <si>
    <t>FT6WV</t>
  </si>
  <si>
    <t>Green Submitted, gold</t>
  </si>
  <si>
    <t>WOS:000423295400006</t>
  </si>
  <si>
    <t>Microplastic Accumulation in Crayfish Astacus leptodactylus (Eschscholtz 1823) and Sediments of Durusu (Terkos) Lake (Turkey)</t>
  </si>
  <si>
    <t>The accumulation and fragmentation of plastics in water sources is one of the important problems of recent times. In this study, it was aimed to determine and characterize the microplastic accumulation in the sediment and in the stomach and gills of the freshwater crayfish Astacus leptodactylus (Eschscholtz 1823) in Durusu (Terkos) Lake, which is one of the most important water resources of Istanbul and even the Marmara Region. Thus, the microplastic contamination of both the lake sediment and crayfish was revealed for the first time in Turkey, and insight was given into the transmission of this contamination to the biota. The microplastic amount of the sediment samples was found as 32.26-396.71 pieces.kg(-1) dry sediment. The microplastic amount was determined as 0.89-15.67 pieces.ind(-1) in stomach content and 0.5-19.67 pieces.ind(-1) in the gills of the crayfish. The predominant microplastic types were found as fragments in the sediment samples, fibers in the gill, and stomach content. As a result of the analysis, the main polymers identified in crayfish samples were polypropylene (78%) and followed by polyphenylene sulfide (11%) and polyethylene (11%); in sediment samples, polypropylene (47%) and followed by polyvinyl alcohol (20%), polyethylene (20%), and polyamide (13%). Activities carried out in the coastal area pollute the lake, and it is necessary to control the anthropogenic and fisheries-related pollution in the lake.</t>
  </si>
  <si>
    <t>10.1007/s11270-022-05908-y</t>
  </si>
  <si>
    <t>Mulayim, A; Bat, L; Oztekin, A; Gunduz, SK; Yucedag, E; Bicak, B</t>
  </si>
  <si>
    <t>Mulayim, Aysegul; Bat, Levent; Oztekin, Aysah; Gunduz, Serda Kecel; Yucedag, Elif; Bicak, Bilge</t>
  </si>
  <si>
    <t>Microplastic; Crustacea; Benthic pollution; Freshwater; Raman spectroscopy</t>
  </si>
  <si>
    <t>FRESH-WATER ECOSYSTEMS; SURFACE WATERS; PLASTIC DEBRIS; GASTROINTESTINAL-TRACT; POLLUTION; SEA; MESOPLASTICS; ENVIRONMENT; TRANSPORT; CHEMICALS</t>
  </si>
  <si>
    <t>[Mulayim, Aysegul; Yucedag, Elif] Istanbul Univ, Fac Sci, Dept Biol, TR-34134 Istanbul, Turkey; [Bat, Levent; Oztekin, Aysah] Univ Sinop, Fisheries Fac, Dept Hydrobiol, TR-57000 Akliman Sinop, Turkey; [Gunduz, Serda Kecel; Bicak, Bilge] Istanbul Univ, Fac Sci, Dept Phys, TR-34134 Istanbul, Turkey</t>
  </si>
  <si>
    <t>Istanbul University; Istanbul University</t>
  </si>
  <si>
    <t>Mulayim, A (corresponding author), Istanbul Univ, Fac Sci, Dept Biol, TR-34134 Istanbul, Turkey.</t>
  </si>
  <si>
    <t>aysegulm@istanbul.edu.tr; leventbat@gmail.com; aysahvisne@gmail.com; skecel@istanbul.edu.tr; elif.yucedag@ogr.iu.edu.tr; bbicak@istanbul.edu.tr</t>
  </si>
  <si>
    <t>Mülayim, Ayşegül/AAC-5531-2020; Bicak, Bilge/AAC-9032-2020; Kecel Gunduz, Serda/N-8432-2017; Bicak, Bilge/HGD-4273-2022; Bat, Levent/I-3519-2017</t>
  </si>
  <si>
    <t>Mülayim, Ayşegül/0000-0001-9124-3195; Bicak, Bilge/0000-0003-1147-006X; Kecel Gunduz, Serda/0000-0003-0973-8223; Bicak, Bilge/0000-0003-1147-006X; Bat, Levent/0000-0002-2289-6691</t>
  </si>
  <si>
    <t>Istanbul University Department of Scientific Research Projects [FBA-2018-29978, ONAP 2423]</t>
  </si>
  <si>
    <t>Istanbul University Department of Scientific Research Projects(Istanbul University)</t>
  </si>
  <si>
    <t>The author is grateful to Mert Kesikta and the Istanbul University Department of Scientific Research Projects (project number FBA-2018-29978 and ONAP 2423).</t>
  </si>
  <si>
    <t>5X5UV</t>
  </si>
  <si>
    <t>WOS:000878665600004</t>
  </si>
  <si>
    <t>Microplastic contamination and risk assessment in table salts: Turkey</t>
  </si>
  <si>
    <t>In this study, the characterization of microplastics of table salts (n = 36) was determined by FT -IR. Then, individuals' exposure to microplastics from table salt consumption was calculated with a deterministic model, and finally, a risk assessment of table salt was performed using the polymer risk index. On average, 44 +/- 26, 38 +/- 40, 28 +/- 9, and 39 +/- 30 microplastics/kg were detected in rock salts (n = 16), lake salts (n = 12), sea salts (n = 8), and all salts (n = 36). Microplastics with 10 different polymer types (CPE, VC-ANc, HDPE, PET, Nylon-6, PVAc, EVA, PP, PS, Polyester), 7 different colors (black, red, colorless, blue, green, brown, white, gray), and 3 different shapes (fiber, granulated, film) were found in table salts. The daily, annual and lifetime (70-year) exposures to microplastics from table salt consumption in 15+-year-old individuals (general) were calculated to be 0.41 microplastic particles/day, 150 microplastic particles/year and 10,424 microplastic particles/70-year, respectively. The average microplastic polymer risk index of all table salts was calculated as 182 +/- 144 and the risk level is in the medium. In order to minimize microplastic contamination in table salts, protective measures should be taken at the source of the salt, and production processes should be improved.</t>
  </si>
  <si>
    <t>10.1016/j.fct.2023.113698</t>
  </si>
  <si>
    <t>Ozcifci, Z; Basaran, B; Akcay, HT</t>
  </si>
  <si>
    <t>Ozcifci, Zehra; Basaran, Burhan; Akcay, Hakki Turker</t>
  </si>
  <si>
    <t>FOOD AND CHEMICAL TOXICOLOGY</t>
  </si>
  <si>
    <t>Table salts; Microplastics; Dietary exposure; Polymer risk index; Plastic pollution; Risk assessment</t>
  </si>
  <si>
    <t>POLYVINYLIDENE CHLORIDE; FTIR SPECTROSCOPY; PLASTIC DEBRIS; VINYL-ACETATE; POLYMERS; POLLUTION; POLYETHYLENE; PYROLYSIS; SPECTRA; IR</t>
  </si>
  <si>
    <t>[Ozcifci, Zehra; Akcay, Hakki Turker] Recep Tayyip Erdogan Univ, Fac Arts &amp; Sci, Dept Chem, TR-53100 Rize, Turkiye; [Basaran, Burhan] Recep Tayyip Erdogan Univ, Pazar Vocat Sch, Dept Tea Agr &amp; Proc Technol, TR-53100 Rize, Turkiye</t>
  </si>
  <si>
    <t>Recep Tayyip Erdogan University; Recep Tayyip Erdogan University</t>
  </si>
  <si>
    <t>Basaran, B (corresponding author), Recep Tayyip Erdogan Univ, Pazar Vocat Sch, Dept Tea Agr &amp; Proc Technol, TR-53100 Rize, Turkiye.</t>
  </si>
  <si>
    <t>burhan.basaran@erdogan.edu.tr</t>
  </si>
  <si>
    <t>ÖZÇİFÇİ, Zehra/HJI-1678-2023; AKÇAY, Hakkı Türker/T-6150-2018</t>
  </si>
  <si>
    <t>ÖZÇİFÇİ, Zehra/0000-0001-8218-7136; AKÇAY, Hakkı Türker/0000-0002-8502-9608; BASARAN, BURHAN/0000-0001-6506-6113</t>
  </si>
  <si>
    <t>0278-6915</t>
  </si>
  <si>
    <t>1873-6351</t>
  </si>
  <si>
    <t>FOOD CHEM TOXICOL</t>
  </si>
  <si>
    <t>Food Chem. Toxicol.</t>
  </si>
  <si>
    <t>MAY</t>
  </si>
  <si>
    <t>MAR 2023</t>
  </si>
  <si>
    <t>Food Science &amp; Technology; Toxicology</t>
  </si>
  <si>
    <t>A4ZZ8</t>
  </si>
  <si>
    <t>WOS:000955236100001</t>
  </si>
  <si>
    <t>Microplastic occurrence in the gastrointestinal tract and gill of bioindicator fish species in the northeastern Mediterranean</t>
  </si>
  <si>
    <t>Microplastic pollution is an extremely emerging problem and its potential threats to the aquatic organisms were investigated worldwide. In this study, four different commercial fish species (Mullus barbatus (Linnaeus, 1758), Mullus surmuletus (Linnaeus, 1758), Mugil cephalus (Linnaeus, 1758), Saurida undosquamis (Richardson, 1848)) were used as a bioindicator to assess the microplastic pollution in the northeastern Mediterranean. The frequency of occurrence in the gastrointestinal tract (GIT) and gill was varied between 66-100% and 68-90%, respectively. The highest microplastic abundance was detected at the GIT of M. cephalus sampled from Asi River estuary. The majority of extracted microplastics were fiber, black in color and less than 1 mm in size. Fourier Transform Infrared Spectroscopy (FTIR) indicated the most common polymer type as polyethylene. This study is the first study examining the microplastic existence in gill and results obtained in this study improve the knowledge about the relationship of microplastic ingestion in fish and environmental conditions in the Northeastern Mediterranean Sea.</t>
  </si>
  <si>
    <t>10.1016/j.marpolbul.2022.113556</t>
  </si>
  <si>
    <t>Kilic, E; Yucel, N</t>
  </si>
  <si>
    <t>Kilic, Ece; Yucel, Nebil</t>
  </si>
  <si>
    <t>Microplastic; Northeastern Mediterranean; Mullus barbatus; Mullus surmuletus; Mugil cephalus; Saurida undosquamis</t>
  </si>
  <si>
    <t>MERLUCCIUS-MERLUCCIUS; DEMERSAL FISH; MARINE LITTER; INGESTION; POLLUTION; SEA; COASTAL; TISSUES; WILD</t>
  </si>
  <si>
    <t>[Kilic, Ece; Yucel, Nebil] Iskenderun Tech Univ, Fac Marine Sci &amp; Technol, Dept Water Resources Management &amp; Org, Antakya, Turkey</t>
  </si>
  <si>
    <t>Iskenderun Technical University</t>
  </si>
  <si>
    <t>Kilic, E (corresponding author), Iskenderun Tech Univ, Fac Marine Sci &amp; Technol, Dept Water Resources Management &amp; Org, Antakya, Turkey.</t>
  </si>
  <si>
    <t>ece.kilic@iste.edu.tr; nebil.yucel@iste.edu.tr</t>
  </si>
  <si>
    <t>Yücel, Nebil/F-4053-2018; Kılıç, Ece/HOH-3410-2023</t>
  </si>
  <si>
    <t xml:space="preserve">Yücel, Nebil/0000-0003-2531-0198; </t>
  </si>
  <si>
    <t>MAR 2022</t>
  </si>
  <si>
    <t>1C8MI</t>
  </si>
  <si>
    <t>WOS:000793366700007</t>
  </si>
  <si>
    <t>Microplastics in municipal wastewater treatment plants: a case study of Denizli/Turkey</t>
  </si>
  <si>
    <t>Plastic particles smaller than 5 mm are microplastics. They are among the significant pollutants that recently attracted attention. Great quantities of microplastics enter the sewage system daily and reach wastewater treatment plants (WWTPs). As a result, WWTPs are potential microplastic sources. Hence, they create a pathway for microplastics to reach aquatic environments with treated wastewater discharge. Studies on microplastic characterization in WWTPs have gained momentum in academia. This study investigates the abundance, size, shape, color, polymer type, and removal efficiencies of microplastics in a municipal wastewater treatment plant (WWTP) in Denizli/Turkey. The results showed that the dominant microplastic shape in wastewater samples was fibers (41.78%-60.77%) in the 100-500 mu m (58.57%-80.07%) size range. Most of the microplastics were transparent-white (32.86%-58.93%). The dominant polymer types were polyethylene (54.05%) and polyethylene vinyl acetate (37.84%) in raw wastewater. Furthermore, the microplastic removal efficiencies of the Denizli Central WWTP as a whole and for individual treatment units were evaluated. Although the microplastic pollution removal efficiency of the Denizli Central WWTP was over 95%, the microplastic concentration discharged daily into the receiving environment was considerably high (1.28 x 10(10) MP/d). Thus, Denizli Central WWTP effluents result in a high volume of emissions in terms of microplastic pollution with a significant daily discharge to the curuksu Stream.</t>
  </si>
  <si>
    <t>10.1007/s11783-023-1699-8</t>
  </si>
  <si>
    <t>FRONTIERS OF ENVIRONMENTAL SCIENCE &amp; ENGINEERING</t>
  </si>
  <si>
    <t>Microplastics; Wastewater treatment plant; Removal efficiency; Daily discharge</t>
  </si>
  <si>
    <t>REMOVAL; IDENTIFICATION; PARTICLES; POLLUTION; FATE</t>
  </si>
  <si>
    <t>[Koyuncuoglu, Pelin; Erden, Gulbin] Pamukkale Univ, Engn Fac, Environm Engn Dept, Kinikli Campus, TR-20160 Denizli, Turkiye</t>
  </si>
  <si>
    <t>Koyuncuoglu, P (corresponding author), Pamukkale Univ, Engn Fac, Environm Engn Dept, Kinikli Campus, TR-20160 Denizli, Turkiye.</t>
  </si>
  <si>
    <t>Pamukkale University Scientific Research Project (Turkey) [2019FEBE009]</t>
  </si>
  <si>
    <t>Pamukkale University Scientific Research Project (Turkey)</t>
  </si>
  <si>
    <t>AcknowledgementsThis work was supported by the Pamukkale University Scientific Research Project (Turkey) (No. 2019FEBE009).</t>
  </si>
  <si>
    <t>HIGHER EDUCATION PRESS</t>
  </si>
  <si>
    <t>BEIJING</t>
  </si>
  <si>
    <t>CHAOYANG DIST, 4, HUIXINDONGJIE, FUSHENG BLDG, BEIJING 100029, PEOPLES R CHINA</t>
  </si>
  <si>
    <t>2095-2201</t>
  </si>
  <si>
    <t>2095-221X</t>
  </si>
  <si>
    <t>FRONT ENV SCI ENG</t>
  </si>
  <si>
    <t>Front. Env. Sci. Eng.</t>
  </si>
  <si>
    <t>9W2LP</t>
  </si>
  <si>
    <t>WOS:000948911400002</t>
  </si>
  <si>
    <t>Integrated Marine Pollution Monitoring Program: Marine litter studies in the Black Sea coasts of Turkey</t>
  </si>
  <si>
    <t>Marine litter is one of the crucial problems for the ecosystem health, and most of its sources are anthropogenic. The EU Marine Strategy Framework Directive is focused on Marine Litter under the descriptor 10 in order to achieve levels of marine litter that do not cause harm to the coastal and marine environment. However, there is insufficient data to evaluate marine litter. To fill in this lack of data, macro and micro litter surveys were performed as a part of the Integrated Marine Pollution Monitoring Programme. In this programme, two microplastic stations and one beach litter surveys were conducted in Black Sea. Two microplastic stations show that the fluctuation of data is heavily influenced by the inputs from the rivers. However, microplastic concentrations in the water column were found to be similar at both stations. Beach litter survey showed that amongst the percentage distributions of the total number of garbage counted in the area, plastic had the highest percentile of 91. Integrated Marine Pollution Monitoring Program 2020-2022, aims to increase the microplastic and beach litter sampling stations, as well as to reveal short, medium and long-term plans for monitoring and reducing the marine litter.</t>
  </si>
  <si>
    <t>Atabay, H; Tan, I; Konya, MY; Kaman, G; Evcen, A; Caglayan, HS; Eker, EO; Beken, CP</t>
  </si>
  <si>
    <t>Atabay, Hakan; Tan, Ibrahim; Konya, Mustafa Yigit; Kaman, Gokhan; Evcen, Alper; Caglayan, Hacer Selamoglu; Eker, Ebru Olgun; Beken, Colpan Polat</t>
  </si>
  <si>
    <t>Macroplastic; microplastic; beach litter; trawl; National Monitoring Programme; Black Sea</t>
  </si>
  <si>
    <t>[Atabay, Hakan; Tan, Ibrahim; Konya, Mustafa Yigit; Kaman, Gokhan; Evcen, Alper; Beken, Colpan Polat] Inst Environm &amp; Cleaner Prod, TUBITAK MRC, Kocaeli, Turkey; [Caglayan, Hacer Selamoglu; Eker, Ebru Olgun] Minist Environm &amp; Urbanizat Turkey, Directorate Gen Environm Impact Assessment Permit, Dept Lab Measurement &amp; Monitoring Golbasi, Ankara, Turkey</t>
  </si>
  <si>
    <t>Turkiye Bilimsel ve Teknolojik Arastirma Kurumu (TUBITAK)</t>
  </si>
  <si>
    <t>Atabay, H (corresponding author), Inst Environm &amp; Cleaner Prod, TUBITAK MRC, Kocaeli, Turkey.</t>
  </si>
  <si>
    <t>hakan.atabay@tubitak.gov.tr</t>
  </si>
  <si>
    <t>Ministry of Environment and Urbanization, Turkey</t>
  </si>
  <si>
    <t>The present study, was carried out with the programme called Integrated Pollution Monitoring in Turkish Seas (CSB/CEDIDGM TUBITAK/MAM; 2014-2016) supported by the Ministry of Environment and Urbanization, Turkey.</t>
  </si>
  <si>
    <t>WOS:000637180200010</t>
  </si>
  <si>
    <t>Effect of biological and environmental factors on microplastic ingestion of commercial fish species</t>
  </si>
  <si>
    <t>Marine litter is an emerging pollution all over the world. In addition to the macro sized plastics, ongoing scientific efforts revealed risks of micro and nano sized plastic particles in marine environment. In the past decades, an increasing number of studies have been carried out to understand the dynamics of this pollution. The aim of the present study was to investigate the microplastic (MPs) ingestion in commercially important fish species and to evaluate biological and environmental factors influencing the ingestion status. Gastrointestinal tract content of a total of 2222 individuals belonging to 17 species were examined for MPs existence. Out of 17 species evaluated, 13 of them was detected to ingest MPs. Our results showed that 18.1% of investigated fishes ingested MPs and the average length of the detected particles was 1.26 +/- 1.38 (+/- SD) mm. The most dominant MP type was fiber (90.1%), while the most common particle colours were black (46.9%) and blue (29.4%). Polypropylene (85%) was the most common polymer type detected. Our evaluations indicated that the exposure of fish distributed in coastal areas to microplastic pollution is corelated to physical (precipitation and distance to nearest shore) and biological (functional trophic group, habitat of the species) factors. In order to design a more effective control mechanism, these impacts should be included in the assessments in future practices to reveal the effects of microplastic pollution on biota.</t>
  </si>
  <si>
    <t>10.1016/j.chemosphere.2022.135101</t>
  </si>
  <si>
    <t>Koraltan, I; Mavruk, S; Guven, O</t>
  </si>
  <si>
    <t>Koraltan, Idris; Mavruk, Sinan; Guven, Olgac</t>
  </si>
  <si>
    <t>Functional trophic groups; Habitat preference; Mediterranean; Precipitation</t>
  </si>
  <si>
    <t>MEDITERRANEAN SEA; LINNAEUS; COASTAL; WATERS; LITTER; AREAS</t>
  </si>
  <si>
    <t>[Koraltan, Idris; Guven, Olgac] Akdeniz Univ, Fac Fisheries, Dumlupinar Bulv Kampus, TR-07070 Antalya, Turkey; [Mavruk, Sinan] Cukurova Univ, Fac Fisheries, TR-01330 Adana, Turkey</t>
  </si>
  <si>
    <t>Akdeniz University; Cukurova University</t>
  </si>
  <si>
    <t>Guven, O (corresponding author), Akdeniz Univ, Fac Fisheries, Dumlupinar Bulv Kampus, TR-07070 Antalya, Turkey.</t>
  </si>
  <si>
    <t>olgac@akdeniz.edu.tr</t>
  </si>
  <si>
    <t>GÜVEN, Olgaç/D-2399-2009; koraltan, idris/GQQ-0360-2022; Mavruk, Sinan/E-5611-2018</t>
  </si>
  <si>
    <t>GÜVEN, Olgaç/0000-0002-0920-673X; koraltan, idris/0000-0001-7776-3047; Mavruk, Sinan/0000-0003-1958-0634</t>
  </si>
  <si>
    <t>Akdeniz University Scientific Research Projects Coordination Unit (BAP) [FBA-2019-4449]</t>
  </si>
  <si>
    <t>Akdeniz University Scientific Research Projects Coordination Unit (BAP)(Akdeniz University)</t>
  </si>
  <si>
    <t>We would like to acknowledge the help of Kerem GOKDAG (MSc) and RV Akdeniz Su crew for their support in field sampling. This research was supported by Akdeniz University Scientific Research Projects Coordination Unit (BAP) grants; FBA-2019-4449 (Title: Assessment of Microplastic Pollution Status and Its Impacts on Biota in Coastal Habitats and Commercial Fishing Areas of Gulf of Antalya).</t>
  </si>
  <si>
    <t>JUN 2022</t>
  </si>
  <si>
    <t>3J6YM</t>
  </si>
  <si>
    <t>WOS:000833540500001</t>
  </si>
  <si>
    <t>Hydrometeorological assessments of the transport of microplastic pellets in the Eastern Mediterranean</t>
  </si>
  <si>
    <t>Y Microplastic pellets were sampled in May and November 2018 during one-week surveys at 13 coastal beaches in Iskenderun Bay/Turkey. Pellet pollution index (PPI) was calculated for the beaches as a tool to assess beach pollution by microplastic pellets. Hydrometeorological conditions, including wind, current, wave, surface run-off, and precipitation, were examined during 2018 to reveal the effect on the transport of microplastic pellets within the study area. Sea-surface heights, including the astronomical tide and the storm surge and the wave runup heights, were also considered in the analysis to study the extent of hydrodynamic forcing on the beach. Hydrometeorological assessments indicated that the pellet concentrations in the coastal zone are mostly related to wind-induced transport. Three major river discharges are considered as the main source of microplastic pellets effluents. A Lagrangian particle transport model was conducted to reveal the possible beaching hotspots of microplastic pellets released from these river mouths. Average microplastic pellets were calculated as 126.04 +/- 54.08 items/m2 for May 2018 and 70.22 +/- 18.25 items/m2 for November 2018. An overall mean PPI for May 2018 was calculated as 1.13, indicating a moderate degree of pellet pollution, and 0.56 for November 2018, indicating a low degree of pellet pollution. The simulations showed that Orontes River effluents affected the inner Iskenderun Bay coasts more than the Seyhan and Ceyhan River.</t>
  </si>
  <si>
    <t>10.1016/j.scitotenv.2022.153676</t>
  </si>
  <si>
    <t>Gundogdu, S; Ayat, B; Aydogan, B; Cevik, C; Karaca, S</t>
  </si>
  <si>
    <t>Gundogdu, Sedat; Ayat, Berna; Aydogan, Burak; Cevik, Cem; Karaca, Serkan</t>
  </si>
  <si>
    <t>Nurdle; Pellet pollution; Iskenderun Bay; Hydrodynamical model; Lagrangian particle transport model</t>
  </si>
  <si>
    <t>NE LEVANTINE COAST; PLASTIC POLLUTION; BEACHES; LITTER; BAY; FEATURES; EUROPE; DEBRIS; SCALE; WINDS</t>
  </si>
  <si>
    <t>[Gundogdu, Sedat; Cevik, Cem] Cukurova Univ, Fac Fisheries, Dept Basic Sci, TR-01330 Adana, Turkey; [Ayat, Berna] Yildiz Tech Univ, Dept Civil Engn, TR-34349 Istanbul, Turkey; [Aydogan, Burak] Gebze Tech Univ, Dept Civil Engn, TR-41400 Kocaeli, Turkey; [Karaca, Serkan] Cukurova Univ, Dept Chem, TR-01330 Adana, Turkey</t>
  </si>
  <si>
    <t>Cukurova University; Yildiz Technical University; Gebze Technical University; Cukurova University</t>
  </si>
  <si>
    <t>karaca, serkan/A-1769-2018; Aydoğan, Burak/GZM-1183-2022; Gündoğdu, Sedat/B-4475-2018</t>
  </si>
  <si>
    <t>karaca, serkan/0000-0002-2026-1713; Aydoğan, Burak/0000-0002-0394-6657; Gündoğdu, Sedat/0000-0002-4415-2837</t>
  </si>
  <si>
    <t>Scientific and Technological Research Council of Turkey (TUBITAK) [117Y212]; Cukurova University Scientific Project unit [FBA-2016-7634, FBA-2016-7389]</t>
  </si>
  <si>
    <t>Scientific and Technological Research Council of Turkey (TUBITAK)(Turkiye Bilimsel ve Teknolojik Arastirma Kurumu (TUBITAK)); Cukurova University Scientific Project unit(Cukurova University)</t>
  </si>
  <si>
    <t>The authors wish to thank the Scientific and Technological Research Council of Turkey (TUBITAK) for financial support through project number 117Y212; thank the Cukurova University Scientific Project unit for finan-cial support through projects numbers FBA-2016-7634 and FBA-2016-7389. The authors also thank the General Command of Mapping for the sea surface height data provided within the Turkish National Sea Level Monitoring System (TUDES) program and the Copernicus Marine Service for providing the wind, current, run-off, rainfall, and sea surface height data.</t>
  </si>
  <si>
    <t>JUN 1</t>
  </si>
  <si>
    <t>ZQ0MQ</t>
  </si>
  <si>
    <t>WOS:000766808500002</t>
  </si>
  <si>
    <t>Characterization of littered face masks in the southeastern part of Turkey</t>
  </si>
  <si>
    <t>A possible source of microplastics has started to be released into nature because of the single-use face masks that protect us against the spread of COVID-19 and are being thrown onto the streets and into seas and nature. This study aims to estimate the amount of face mask use during the COVID-19 pandemic in Turkey, thereby expressing our concerns about waste management and plastic pollution and calling on appropriate solid waste management policies and governments to take the necessary measures to formulate their strategies at all levels. In this context, the number of masks in an area of 1 km(2) in 3 different cities was determined theoretically and experimentally. Fourier transform infrared spectroscopy (FT-IR) and scanning electron microscope (SEM) were also used to evaluate plastic polymer characteristics of the single-use face mask. It was determined that the three cities produce roughly 10 tons of face masks in a day. With the increasing use of single-use plastics, the impact of face masks on microplastic pollution is of great concern. Although studies on the recovery of disposable masks continue, the level is insufficient. Therefore, studies to be carried out on technologies that will enable the repeated use of masks are important.</t>
  </si>
  <si>
    <t>10.1007/s11356-021-14099-8</t>
  </si>
  <si>
    <t>Akarsu, C; Madenli, O; Deveci, EU</t>
  </si>
  <si>
    <t>Akarsu, Ceyhun; Madenli, Ozgecan; Deveci, Ece Ummu</t>
  </si>
  <si>
    <t>COVID-19; Face masks; Microplastic pollution; Soil pollution; Water pollution</t>
  </si>
  <si>
    <t>MICROPLASTIC POLLUTION; PLASTIC POLLUTION; COVID-19; SEDIMENTS; IDENTIFICATION; DEGRADATION; PARTICLES; ECOSYSTEM; IMPACTS; DEBRIS</t>
  </si>
  <si>
    <t>[Akarsu, Ceyhun] Mersin Univ, Dept Environm Engn, Mersin, Turkey; [Madenli, Ozgecan; Deveci, Ece Ummu] Nigde Omer Halisdemir Univ, Dept Environm Engn, Nigde, Turkey</t>
  </si>
  <si>
    <t>Mersin University; Nigde Omer Halisdemir University</t>
  </si>
  <si>
    <t>Akarsu, C (corresponding author), Mersin Univ, Dept Environm Engn, Mersin, Turkey.</t>
  </si>
  <si>
    <t>ceyhunakarsu@mersin.edu.tr</t>
  </si>
  <si>
    <t>Akarsu, Ceyhun/G-4632-2016; deveci, ece ummu/A-8853-2014</t>
  </si>
  <si>
    <t>Akarsu, Ceyhun/0000-0002-0168-9941; MADENLI, Ozgecan/0000-0002-8673-3963</t>
  </si>
  <si>
    <t>APR 2021</t>
  </si>
  <si>
    <t>UE9IL</t>
  </si>
  <si>
    <t>Green Submitted, Bronze, Green Published</t>
  </si>
  <si>
    <t>WOS:000643190500003</t>
  </si>
  <si>
    <t>Modeling transport of microplastics in enclosed coastal waters: A case study in the Fethiye Inner Bay</t>
  </si>
  <si>
    <t>In this study, transport and possible accumulation of microplastic marine litter in enclosed coastal waters are modeled numerically. The model is applied to the Fethiye Inner Bay, located in Fethiye-Gocek Specially Protected Area. In modeling studies, three dimensional coastal hydrodynamics, transport and water quality numerical model HYDROTAM-3D was used. The current climate was prepared by modeling long-term circulation patterns due to wind, wave and density stratifications. Following the hydrodynamic studies, the advection and diffusion of 3 mm size polystyrene particles by the coastal currents in the surface waters of Fethiye Inner Bay were simulated. The coastal regions where the microplastic pollution will be concentrated and transported were determined by the modeling scenarios. It has been found that microplastic accumulation is expected in the southwest and east coastal waters of the Fethiye Inner Bay. The results of the model will contribute to the databases for sustainable protection of the marine environments.</t>
  </si>
  <si>
    <t>10.1016/j.marpolbul.2019.110747</t>
  </si>
  <si>
    <t>Genc, AN; Vural, N; Balas, L</t>
  </si>
  <si>
    <t>Genc, Asli Numanoglu; Vural, Nilufer; Balas, Lale</t>
  </si>
  <si>
    <t>Microplastic transport; Enclosed waters; Numerical modeling; HYDROTAM-3D; Fethiye Bay</t>
  </si>
  <si>
    <t>FLOATING PLASTIC DEBRIS; BENTHIC MARINE LITTER; SEA; ACCUMULATION; ZOOPLANKTON; PARTICLES; POLLUTION; WIND</t>
  </si>
  <si>
    <t>[Genc, Asli Numanoglu] TED Univ, Civil Engn Dept, Ziya Gokalp St 47-48, TR-06420 Ankara, Turkey; [Vural, Nilufer] Ankara Univ, Chem Engn Dept, Dogol St, TR-06100 Ankara, Turkey; [Balas, Lale] Gazi Univ, Civil Engn Dept, Celal Bayar Ave, TR-06570 Ankara, Turkey</t>
  </si>
  <si>
    <t>Ted University; Ankara University; Gazi University</t>
  </si>
  <si>
    <t>Genc, AN (corresponding author), TED Univ, Civil Engn Dept, Ziya Gokalp St 47-48, TR-06420 Ankara, Turkey.</t>
  </si>
  <si>
    <t>asli.genc@tedu.edu.tr; nilufer.vural@science.ankara.edu.tr; lalebal@gazi.edu.tr</t>
  </si>
  <si>
    <t>VURAL, Nilufer/T-3722-2019; Balas, Lale/CAG-7984-2022; Numanoğlu Genç, Aslı/K-8094-2017</t>
  </si>
  <si>
    <t>VURAL, Nilufer/0000-0003-3047-3004; Numanoğlu Genç, Aslı/0000-0003-1223-0842; balas, lale/0000-0003-1916-1237</t>
  </si>
  <si>
    <t>Scientific and Technological Research Council of Turkey (TUBITAK) [CAYDAG-117Y500]</t>
  </si>
  <si>
    <t>This research was supported by The Scientific and Technological Research Council of Turkey (TUBITAK), under the grant number CAYDAG-117Y500 (Transport Modeling of Microplastics and an Application to Fethiye Bay). The authors would also like to thank to DLTM Inc. for providing HYDROTAM-3D software.</t>
  </si>
  <si>
    <t>KG0DF</t>
  </si>
  <si>
    <t>WOS:000509611200095</t>
  </si>
  <si>
    <t>Microplastic Occurrences in Sediments Collected from Marmara Sea-Istanbul, Turkey</t>
  </si>
  <si>
    <t>Microplastics are persistent, synthetic polymers that have managed to spread even to the most remote places on earth. Studies reporting on the abundance of microplastics have recently increased worldwide, which has raised environmental concerns among scientific communities. Nevertheless, evidence of microplastic contamination from Turkey is limited even though the location is a critical point and the population is higher than most countries in the region. Thus, we aimed to detect microplastics in sediment samples collected from the Marmara Sea in Istanbul-Turkey. In this study, fourteen sediment samples were collected and sub-sampled, then plastic debris was extracted, quantified and characterized by the morphology and polymer structure. The result revealed that all of the samples contained microplastics, and their concentrations ranged between 0.3 and 85.6 g/kg sediment, and the most abundant plastic types were acrylonitrile butadiene styrene, ethylene vinyl acetate, and polystyrene.</t>
  </si>
  <si>
    <t>10.1007/s00128-020-02993-9</t>
  </si>
  <si>
    <t>Baysal, A; Saygin, H; Ustabasi, GS</t>
  </si>
  <si>
    <t>Baysal, Asli; Saygin, Hasan; Ustabasi, Gul Sirin</t>
  </si>
  <si>
    <t>BULLETIN OF ENVIRONMENTAL CONTAMINATION AND TOXICOLOGY</t>
  </si>
  <si>
    <t>Microplastics; Plastic pollution; Sediment; marine; Turkey</t>
  </si>
  <si>
    <t>POLLUTION; PLASTICS; WATERS; AREA</t>
  </si>
  <si>
    <t>[Baysal, Asli] TC Istanbul Aydin Univ, Sefakoy Kucukcekmece, TR-34295 Istanbul, Turkey; [Saygin, Hasan] TC Istanbul Aydin Univ, Applicat &amp; Res Ctr Adv Studies, Sefakoy Kucukcekmece, TR-34295 Istanbul, Turkey; [Ustabasi, Gul Sirin] Istanbul Tech Univ, Grad Scholl Sci Engn &amp; Technol, Istanbul, Turkey</t>
  </si>
  <si>
    <t>Istanbul Aydin University; Istanbul Aydin University; Istanbul Technical University</t>
  </si>
  <si>
    <t>Baysal, A (corresponding author), TC Istanbul Aydin Univ, Sefakoy Kucukcekmece, TR-34295 Istanbul, Turkey.</t>
  </si>
  <si>
    <t>BAYSAL, ASLI/0000-0002-0178-7808; Ustabasi, Gul Sirin/0000-0003-1828-5297</t>
  </si>
  <si>
    <t>NEW YORK</t>
  </si>
  <si>
    <t>ONE NEW YORK PLAZA, SUITE 4600, NEW YORK, NY, UNITED STATES</t>
  </si>
  <si>
    <t>0007-4861</t>
  </si>
  <si>
    <t>1432-0800</t>
  </si>
  <si>
    <t>B ENVIRON CONTAM TOX</t>
  </si>
  <si>
    <t>Bull. Environ. Contam. Toxicol.</t>
  </si>
  <si>
    <t>Environmental Sciences; Toxicology</t>
  </si>
  <si>
    <t>Environmental Sciences &amp; Ecology; Toxicology</t>
  </si>
  <si>
    <t>NX0UG</t>
  </si>
  <si>
    <t>WOS:000571669900001</t>
  </si>
  <si>
    <t>The first evidence of microplastic uptake in natural freshwater mussel, Unio stevenianus from Karasu River, Turkey</t>
  </si>
  <si>
    <t>Purpose Microplastic pollution is a major problem that threatens freshwater mussels as well as marine bivalves, since these filter-feeding organisms are directly exposed to microplastics in the water column. There is no study on the microplastic contamination of Unio stevenianus as a bioindicator organism. The aim of this study is to determine the microplastic contamination in U. stevenianus. Materials and methods In total, 32 U. stevenianus were obtained from three different sites from Karasu River, in October 2020. The soft tissue of each mussel was digested and filtered. The filters with microplastics were observed under a stereomicroscope. Results A total of 1,253 microplastics, ranging from 0.81 to 6.69 items/gram (mean 2.85 +/- 1.27 items/g) and 13.00 to 84.73 items/individual (mean 39.15 +/- 16.95 items/individual), were extracted from soft tissues of mussel for all stations. The dominant of the detected microplastics consisted of fragment (48.8%) followed by fiber (47.5%) types, and &lt;0.1 mm size (44.8%), irregular shape (48.7%) and black coloured (48.8%) items were the most uptaked microplastics. Conclusion This study indicated that U. stevenianus has a lot of pollution where there are a lot of microplastics in the river.</t>
  </si>
  <si>
    <t>10.1080/1354750X.2021.2020335</t>
  </si>
  <si>
    <t>Atici, AA</t>
  </si>
  <si>
    <t>Atici, Ataman Altug</t>
  </si>
  <si>
    <t>BIOMARKERS</t>
  </si>
  <si>
    <t>Microplastic; contamination; biomarker; freshwater mussel; bivalves; pollution</t>
  </si>
  <si>
    <t>PLASTIC RESIN PELLETS; MARINE-ENVIRONMENT; SYNTHETIC-POLYMERS; EASTERN ANATOLIA; METAL POLLUTION; HEAVY-METALS; NORTH-SEA; LAKE VAN; BIVALVES; QUALITY</t>
  </si>
  <si>
    <t>[Atici, Ataman Altug] Van Yuzuncu Yil Univ, Fac Fisheries, Dept Fisheries Basic Sci, Zeve Campus, TR-65080 Van, Turkey</t>
  </si>
  <si>
    <t>Atici, AA (corresponding author), Van Yuzuncu Yil Univ, Fac Fisheries, Dept Fisheries Basic Sci, Zeve Campus, TR-65080 Van, Turkey.</t>
  </si>
  <si>
    <t>Atici, Ataman Altug/0000-0001-8700-8969</t>
  </si>
  <si>
    <t>1354-750X</t>
  </si>
  <si>
    <t>1366-5804</t>
  </si>
  <si>
    <t>Biomarkers</t>
  </si>
  <si>
    <t>FEB 17</t>
  </si>
  <si>
    <t>Biotechnology &amp; Applied Microbiology; Toxicology</t>
  </si>
  <si>
    <t>YS7US</t>
  </si>
  <si>
    <t>WOS:000734786800001</t>
  </si>
  <si>
    <t>Microplastic Pollution at Different Trophic Levels of Freshwater Fish in a Variety of Turkiye's Lakes and Dams</t>
  </si>
  <si>
    <t>Information on the occurrence of microplastic (MP; particles smaller than 5 mm) in freshwater fish biota in the Turkiye is limited. In this study, the microplastic contaminations of seven fish species (Cyprinus carpio, Carassius gibelio, Alburnus spp., Scardinius erythrophthalmus, Vimba vimba, Neogobius fluviatilis, and Perca fluviatilis) collected from Lake Manyas, Lake Uluabat, Lake Gala, Lake Gokgol, Alacati Dam, Beydag Dam, Tahtali Dam, and Karaidemir Dam were examined. A total of 610 MP particles were extracted from the gastrointestinal systems of all fish species (n: 406). The ingested MPs were only fibers with the dominant plastic color being blue. The length of microplastics ranged from 0.10 to 4.85 mm. Mean MP length size in C. carpio species 1.40 &amp; PLUSMN;0.90 mm, in C. gibelio species 1.32 &amp; PLUSMN;0.88 mm, in Alburnus spp. 1.23 &amp; PLUSMN;0.90 mm, in S. erythrophthalmus species 0.94 &amp; PLUSMN;0.79 mm, in V. vimba species 1.11 &amp; PLUSMN;0.69 mm, in P. fluviatilis species 1.34 &amp; PLUSMN;0.89 mm, in N. fluviatilis species 1.25 &amp; PLUSMN;0.97 mm. Among the studied species, the most fiber microplastic was found in P. fluviatilis. According to habitat and feeding features the highest number of microplastics was found in benthopelagic and invertivore fish. This data is anticipated to form the basis for new research and decision-making processes.</t>
  </si>
  <si>
    <t>10.4194/TRJFAS23747</t>
  </si>
  <si>
    <t>Boyukalan, S; Yerli, SV</t>
  </si>
  <si>
    <t>Boyukalan, Sercan; Yerli, Sedat Vahdet</t>
  </si>
  <si>
    <t>Microplastic contamination; Fiber; Accumulation; Freshwater fish; Turkiye</t>
  </si>
  <si>
    <t>GASTROINTESTINAL-TRACT; MARINE; INGESTION; COASTAL; SEA; BAY</t>
  </si>
  <si>
    <t>[Boyukalan, Sercan] Hacettepe Univ, Grad Sch Sci &amp; Engn, Ankara, Turkiye; [Yerli, Sedat Vahdet] Hacettepe Univ, Dept Biol, SAL, Ankara, Turkiye</t>
  </si>
  <si>
    <t>Hacettepe University; Hacettepe University</t>
  </si>
  <si>
    <t>Boyukalan, S (corresponding author), Hacettepe Univ, Grad Sch Sci &amp; Engn, Ankara, Turkiye.</t>
  </si>
  <si>
    <t>boyukalansercan@gmail.com</t>
  </si>
  <si>
    <t>L2BS6</t>
  </si>
  <si>
    <t>WOS:001021366600001</t>
  </si>
  <si>
    <t>Tracking the microplastic accumulation from past to present in the freshwater ecosystems: A case study in Susurluk Basin, Turkey</t>
  </si>
  <si>
    <t>Microplastic pollution in aquatic ecosystems has become a global issue in recent years due to its presence everywhere around the world. Although several studies have explored the impact of the accumulation of those small particles in marine environments, comparisons of freshwater systems with marine environments are scarce. In the current study, due to the lack of long-term data on microplastic pollution, we used paleolimnological approaches to acquire the missing information regarding this hot topic. Two short cores were taken from Bursa province in Turkey, which is the center of industrial and agricultural production with many different sectors such as textile and manufacturing. The first core sample was taken from a relatively pristine environment, Lake Uluabat, and the second one was taken from a delta area where all the discharge coming from the basin flowed through to the Marmara Sea. The sediment core from the lake was dated back to the 1960's and the majority of the sample was dominated by fibers. Despite there being no uniform distribution pattern, the number of the microplastics showed decreasing trend after the lake became a Ramsar site. Due to the continuous mixing in the sampling area, there were obstacles via the dating of the Delta core. Nevertheless, the data showed that a high number and variety of microplastics have accumulated over the last decade in the province. This can be interpreted as microplastic pollution reaching the sea directly from the basin. These findings revealed that a plastic chronostratigraphy would give important temporal data regarding the microplastic accumulation in aquatic ecosystems.</t>
  </si>
  <si>
    <t>10.1016/j.chemosphere.2022.135007</t>
  </si>
  <si>
    <t>Almas, FF; Bezirci, G; Cagan, AS; Gokdag, K; Cirak, T; Kankilic, GB; Pacal, E; Tavsanoglu, UN</t>
  </si>
  <si>
    <t>Almas, Fatma Feisal; Bezirci, Gizem; Cagan, Ali Serhan; Gokdag, Kerem; Cirak, Tamer; Kankilic, Gokben Basaran; Pacal, Elif; Tavsanoglu, Ulku Nihan</t>
  </si>
  <si>
    <t>Microplastics; Emergent contaminant; Paleolimnology; Ramsar site; Lake uluabat; Koca?ay delta</t>
  </si>
  <si>
    <t>LAKE ULUABAT; LEVEL FLUCTUATIONS; MARINE-ENVIRONMENT; PLASTIC DEBRIS; SEDIMENTS; POLLUTION; SEA; CONTEMPORARY; TRANSPORT; ABUNDANCE</t>
  </si>
  <si>
    <t>[Almas, Fatma Feisal; Bezirci, Gizem; Pacal, Elif; Tavsanoglu, Ulku Nihan] Cankiri Karatekin Univ, Hlth Sci Inst, Environm Hlth Programme, Cankiri, Turkey; [Cagan, Ali Serhan] Kastamonu Univ, Arac Rafet Vergili Vocat Sch, Wildlife Programme, Kastamonu, Turkey; [Gokdag, Kerem] Akdeniz Univ, Fac Fisheries, Dept Basic Aquat Sci, Antalya, Turkey; [Cirak, Tamer] Aksaray Univ, Aksaray Tech Sci Vocat Sch, Alternat Energy Sources Technol Program, Aksaray, Turkey; [Kankilic, Gokben Basaran] Kirikkale Univ, Fac Arts &amp; Sci, Biol Dept, Kirikkale, Turkey; [Tavsanoglu, Ulku Nihan] Cankiri Karatekin Univ, Fac Sci, Biol Dept, Cankiri, Turkey</t>
  </si>
  <si>
    <t>Cankiri Karatekin University; Kastamonu University; Akdeniz University; Aksaray University; Kirikkale University; Cankiri Karatekin University</t>
  </si>
  <si>
    <t>Tavsanoglu, UN (corresponding author), Cankiri Karatekin Univ, Fac Sci, Biol Dept, Cankiri, Turkey.</t>
  </si>
  <si>
    <t>nihan@karatekin.edu.tr</t>
  </si>
  <si>
    <t>GÖKDAĞ, Kerem/GXF-3890-2022; Çağan, Ali Serhan/HPF-3947-2023</t>
  </si>
  <si>
    <t>GÖKDAĞ, Kerem/0000-0002-3800-0482; Tavsanoglu, Ulku Nihan/0000-0001-8462-415X</t>
  </si>
  <si>
    <t>Turkiye Bilimsel ve Teknolojik Arastirma Kurumu (Tubitak-Caydag) [119Y031]</t>
  </si>
  <si>
    <t>Turkiye Bilimsel ve Teknolojik Arastirma Kurumu (Tubitak-Caydag)(Turkiye Bilimsel ve Teknolojik Arastirma Kurumu (TUBITAK))</t>
  </si>
  <si>
    <t>This study was supported by Turkiye Bilimsel ve Teknolojik Arastirma Kurumu (Tubitak-Caydag 119Y031) . We thank Belda Erkmen for technical assistance in the field, Tuba Bucak for the preparation of Fig. 1 and Eti Ester Levi for manuscript editing.</t>
  </si>
  <si>
    <t>1Y2UQ</t>
  </si>
  <si>
    <t>WOS:000807999500005</t>
  </si>
  <si>
    <t>Prevalence of microplastics in commercially sold soft drinks and human risk assessment</t>
  </si>
  <si>
    <t>Due to the increasing global plastic production and use in recent years, the amount of microplastic (MP) accumulating in the environment has also increased. This microplastic pollution potential has been documented mostly in studies of the sea or seafood. The presence of microplastics in terrestrial foods has therefore attracted less attention, despite the potential for future major environmental risks. Some of these researches are related to bottled water, tap water, honey, table salt, milk, and soft drinks. However, the presence of microplastics in soft drinks has not yet been evaluated in the European continent, including Turkiye. Hence, the current study focused on the presence and distribution of microplastics in ten soft drink brands in Turkiye since the water utilized in the bottling process of soft drinks originates from different water supply sources. Using FTIR stereoscopy and stereomicroscope examination, MPs were detected in all of these brands. According to the microplastic contamination factor (MPCF) classification, 80% of the soft drink samples indicated a high level of contamination with microplastics. The study's findings showed that each liter of consumed soft drinks exposes people to about nine microplastic particles, which is a moderate dose when compared to exposure levels in earlier research. It has been determined that bottle-production processes and the substrates used for food production may be the main sources of these microplastics. The chemical components of these microplastic polymers were polyamide (PA), polyethylene terephthalate (PET) and polyethylene (PE), and fibers were the dominant shape. Compared to adults, children were subjected to higher microplastic loads. The study's preliminary data on MP contamination of soft drinks may be useful for further evaluating the risks exposure to microplastics poses to human health.</t>
  </si>
  <si>
    <t>10.1016/j.jenvman.2023.117720</t>
  </si>
  <si>
    <t>Altunisik, A</t>
  </si>
  <si>
    <t>Altunisik, Abdullah</t>
  </si>
  <si>
    <t>Beverages; Estimated daily intake; Food safety; Human health risks; Pollution; T?rkiye</t>
  </si>
  <si>
    <t>WATER; PARTICLES</t>
  </si>
  <si>
    <t>[Altunisik, Abdullah] Univ Recep Tayyip Erdogan, Fac Arts &amp; Sci, Dept Biol, TR-53100 Rize, Turkiye</t>
  </si>
  <si>
    <t>Recep Tayyip Erdogan University</t>
  </si>
  <si>
    <t>Altunisik, A (corresponding author), Univ Recep Tayyip Erdogan, Fac Arts &amp; Sci, Dept Biol, TR-53100 Rize, Turkiye.</t>
  </si>
  <si>
    <t>abdullah.altunisik@erdogan.edu.tr</t>
  </si>
  <si>
    <t>JUN 15</t>
  </si>
  <si>
    <t>A5RW5</t>
  </si>
  <si>
    <t>WOS:000955701200001</t>
  </si>
  <si>
    <t>Presence of microplastic in the Patella caerulea from the northeastern Mediterranean Sea</t>
  </si>
  <si>
    <t>This study reports first evidence of microplastic detection in the Patella caerulea collected from 5 different sta-tions located in Iskenderun Bay and Mersin Bay. A total of 160 P. caerulea specimens were examined and 40 of them contained MPs in their soft tissues. The number of microplastics extracted per sample varied from 0.20 +/- 0.5 items/ind to 0.45 +/- 0.7 items/ind depending on station. Fibers were predominant type of MPs and accounted for 75 % to 87.5 % of total extracted MPs, followed by fragments (12.5-25 %). Majority of MPs were 0.5-1 mm size and black in color. Fourier transform infrared spectroscopy (FTIR) showed that the extracted MPs were polypropylene (PP), polyethylene (PE), and polyethylene terephthalate (PET), high density polyethylene (HDPE). This study contributes to the knowledge of the transfer of microplastics to the marine food web and highlights the need for protective measurements.</t>
  </si>
  <si>
    <t>10.1016/j.marpolbul.2023.114684</t>
  </si>
  <si>
    <t>Yucel, N; Kilic, E</t>
  </si>
  <si>
    <t>Yucel, Nebil; Kilic, Ece</t>
  </si>
  <si>
    <t>Microplastic; Mediterranean limpet; Pollution; Ingestion; I?skenderun Bay</t>
  </si>
  <si>
    <t>PLASTIC DENSITY; PARTICLES; IMPACTS; LIMPETS; BIOINDICATORS; GASTROPODA; INGESTION; MOLLUSCA; FOCUS; WATER</t>
  </si>
  <si>
    <t>[Yucel, Nebil; Kilic, Ece] Iskenderun Tech Univ, Fac Marine Sci &amp; Technol, Dept Water Resources Management &amp; Org, Antakya, Turkiye</t>
  </si>
  <si>
    <t>Yucel, N (corresponding author), Iskenderun Tech Univ, Fac Marine Sci &amp; Technol, Dept Water Resources Management &amp; Org, Antakya, Turkiye.</t>
  </si>
  <si>
    <t>nebil.yucel@iste.edu.tr; ece.kilic@iste.edu.tr</t>
  </si>
  <si>
    <t>Yucel, Nebil/F-4053-2018</t>
  </si>
  <si>
    <t>Yucel, Nebil/0000-0003-2531-0198</t>
  </si>
  <si>
    <t>FEB 2023</t>
  </si>
  <si>
    <t>8R3RF</t>
  </si>
  <si>
    <t>WOS:000927810700001</t>
  </si>
  <si>
    <t>Riverine Microplastic Loading to Mersin Bay, Turkey on the North-eastern Mediterranean</t>
  </si>
  <si>
    <t>Microplastics sampled downstream from a total of eight rivers were analysed as the first attempt to determine microplastic composition in rivers and load to Mersin Bay, in the north-eastern Mediterranean Sea. With a share of 83.5%, fibres were the dominant category from all samples. Basic characteristics (form, colour, average size, polymer) of microplastics from these rivers were similar to those reported from the marine environment in Mersin bay. The overall average number of microplastics calculated for the eight rivers was determined as 293 +/- 59 particles/m(3) equalling a load of 1200 billion items (mainly from the Goksu River) discharged annually to the northeastern Mediterranean. This value equivalent to twice the total stock of microplastics within the water column in Mersin Bay, demonstrates that rivers are a primary source of microplastics pollution for the coastal seas.</t>
  </si>
  <si>
    <t>10.4194/TRJFAS20253</t>
  </si>
  <si>
    <t>Ozguler, U; Demir, A; Kayadelen, GC; Kideys, AE</t>
  </si>
  <si>
    <t>Ozguler, Ulku; Demir, Aydeniz; Kayadelen, Gulsah Can; Kideys, Ahmet Erkan</t>
  </si>
  <si>
    <t>Microplastic load; Mersin Bay; Mediterranean; River</t>
  </si>
  <si>
    <t>PEARL RIVER; GASTROINTESTINAL-TRACT; AQUATIC ENVIRONMENTS; SURFACE WATERS; PLASTIC LITTER; GUANGZHOU CITY; HONG-KONG; POLLUTION; SEA; ABUNDANCE</t>
  </si>
  <si>
    <t>[Ozguler, Ulku; Demir, Aydeniz; Kayadelen, Gulsah Can] Mersin Univ, Fac Engn, Dept Environm Engn, Yenisehir, Mersin, Turkey; [Kayadelen, Gulsah Can; Kideys, Ahmet Erkan] Middle East Tech Univ, Inst Marine Sci, TR-33731 Erdemli, Mersin, Turkey</t>
  </si>
  <si>
    <t>Mersin University; Middle East Technical University</t>
  </si>
  <si>
    <t>Demir, A (corresponding author), Mersin Univ, Fac Engn, Dept Environm Engn, Yenisehir, Mersin, Turkey.</t>
  </si>
  <si>
    <t>aydenizdemir@mersin.edu.tr</t>
  </si>
  <si>
    <t>KIDEYS, Ahmet Erkan/HZK-4698-2023</t>
  </si>
  <si>
    <t>DEMIR, Aydeniz/0000-0002-3803-3647; KIDEYS, AHMET ERKAN/0000-0002-1113-2434</t>
  </si>
  <si>
    <t>Republic of Turkey Ministry of Agriculture and Forest Ankara Food Control Laboratory Directorate</t>
  </si>
  <si>
    <t>The authors thank, Republic of Turkey Ministry of Agriculture and Forest Ankara Food Control Laboratory Directorate for providing facilities and support in doing FTIR analyzes work.</t>
  </si>
  <si>
    <t>JUL</t>
  </si>
  <si>
    <t>TRJFAS20253</t>
  </si>
  <si>
    <t>ZL6GQ</t>
  </si>
  <si>
    <t>WOS:000763773900001</t>
  </si>
  <si>
    <t>Preliminary Assessment of Microplastic Pollution Index: A Case Study in Marmara Sea</t>
  </si>
  <si>
    <t>Microplastics are global threat for marine environment, which originated from anthropogenic activities. Although human-induced effects on microplastics are well known, a holistic assessment has not been made. Here, we present the Microplastic Pollution Index (MPI); a fast, convenient, inexpensive and semi-quantitative tool for assessing land- and sea-based pressures on the sampling area. In this preliminary study, MPI were determined for eight different locations in Marmara Sea. According to the MPI results, The Marmara Sea is under the effect of several pressures such as urban and industrial wastewater, marine traffic, agricultural and residential activities on land. Furthermore, coastline morphology affects the retention time of water at the coastal zone. The highest MPI values were obtained from the lzmit and Bandit ma Gulfs, whereas the lowest value was found at inflow of the Dardanelle Strait. MPI values and surface water abundance values for each station showed a linear relation (R-2=0.60; F=7.619; DF=1, P&lt;0.05). No correlation was found between MPI and microplastic abundance in water column and sediment. MPI is providing extensive information on microplastic pollution. The index can be useful to generate an effective monitoring strategy combating, restoring and protecting the coastal waters against the microplastic pollution.</t>
  </si>
  <si>
    <t>10.4194/TRJFAS20537</t>
  </si>
  <si>
    <t>Tan, I</t>
  </si>
  <si>
    <t>Tan, Ibrahim</t>
  </si>
  <si>
    <t>Marmara Sea; Microplastic; Pollution; Coastal waters; MPI index</t>
  </si>
  <si>
    <t>MARINE-ENVIRONMENT; QUALITY STATUS; WATER-QUALITY; COASTAL; DEBRIS; LITTER; STRATEGIES; ECOSYSTEMS; MANAGEMENT; DISPOSAL</t>
  </si>
  <si>
    <t>[Tan, Ibrahim] TUBITAK Marmara Res Ctr, Environm &amp; Cleaner Prod Inst, TR-41470 Kocaeli, Turkey</t>
  </si>
  <si>
    <t>Tan, I (corresponding author), TUBITAK Marmara Res Ctr, Environm &amp; Cleaner Prod Inst, TR-41470 Kocaeli, Turkey.</t>
  </si>
  <si>
    <t>ibrahim.tan@tubitak.gov.tr</t>
  </si>
  <si>
    <t>Tan, İbrahim/GXZ-7772-2022</t>
  </si>
  <si>
    <t>Tan, İbrahim/0000-0002-4948-7687</t>
  </si>
  <si>
    <t>TRJFAS20537</t>
  </si>
  <si>
    <t>WOS:000763773900003</t>
  </si>
  <si>
    <t>Seasonal monitoring of microplastic pollution in the Southeast Black Sea: An example of red mullet (Mullus barbatus) gastrointestinal tracts</t>
  </si>
  <si>
    <t>This study investigated seasonal presence of microplastic (MP) in gastrointestinal tracts of red mullet (Mullus barbatus) sampled from the Southeast Black Sea Region. A total of 335 MPs were detected in 120 individuals. While the most MP was observed in the winter and autumn seasons, quite few MPs were found in the summer and spring seasons. MP size did not show significant difference among seasons. While all of the MPs in the autumn and spring and most of the MPs in the winter were fiber-shaped, most of the MPs in the summer were fragments. The most observed MP color for all seasons was white. While polymer structures did not show much variation in spring and summer, six different polymers were determined for both autumn and winter. In general, less MPs were detected during fishing ban period (summer) and the characteristic properties of the detected MPs suggest a MP pollution in the region due to intense fishing activities.</t>
  </si>
  <si>
    <t>10.1016/j.marpolbul.2023.114886</t>
  </si>
  <si>
    <t>Onay, H; Karsli, B; Minaz, M; Dalgic, G</t>
  </si>
  <si>
    <t>Onay, Hatice; Karsli, Baris; Minaz, Mert; Dalgic, Goktug</t>
  </si>
  <si>
    <t>Plastic pollution; Microplastic; Marine pollution; Red mullet; Black sea</t>
  </si>
  <si>
    <t>DEMERSAL FISH; INGESTION; STATE</t>
  </si>
  <si>
    <t>[Onay, Hatice; Karsli, Baris; Minaz, Mert; Dalgic, Goktug] Recep Tayyip Erdogan Univ, Fac Fisheries, Rize, Turkiye</t>
  </si>
  <si>
    <t>Minaz, M (corresponding author), Recep Tayyip Erdogan Univ, Fac Fisheries, Rize, Turkiye.</t>
  </si>
  <si>
    <t>mert.minaz@erdogan.edu.tr</t>
  </si>
  <si>
    <t>KARSLI, Baris/0000-0002-3944-6988; DALGIC, GOKTUG/0000-0001-8619-6160; ONAY, HATICE/0000-0003-3463-7360; Minaz, Mert/0000-0003-1894-9807</t>
  </si>
  <si>
    <t>Recep Tayyip Erdogan University [FDK-2017-754]</t>
  </si>
  <si>
    <t>Recep Tayyip Erdogan University(Recep Tayyip Erdogan University)</t>
  </si>
  <si>
    <t>This work was supported by the Research Fund of Recep Tayyip Erdogan University under grant FDK-2017-754.</t>
  </si>
  <si>
    <t>J6ON3</t>
  </si>
  <si>
    <t>Bronze</t>
  </si>
  <si>
    <t>WOS:001010792500001</t>
  </si>
  <si>
    <t>Microplastics in a Traditional Turkish Dairy Product: Ayran</t>
  </si>
  <si>
    <t>Ingestion of microplastic particles (MP) through food has been associated with a multitude of health problems in hu-mans. Although ayran is a traditional and nutritious Turkish beverage, the impact of microplastic pollution is unknown. This study examined the incidence of microplastic pollution on ayran by collecting samples throughout the production processes and the ingredients used to make ayran, including water, salt, cream, starting culture, cups, and lastly, the ayran. Optical and scanning electron microscope was applied for MP visualisation and measurement, and Fourier-transform infrared spectroscopy (FTIR) for polymer identification. Microplastics were detected in all examined filters except for the starter culture samples. The samples with the highest MP number were salty water (43 MP number/100 mL), salt (33 MP number/100 g), and milk samples taken from homogenization and pasteurization phases (26 MP number/100 mL). Additionally, 18 MP number/100 mL contamination was detected in the last product ayran. MP with a size range of 1-150 &amp; mu;m prevailed (37.38%). Ethylene propylene was the most frequently identified polymer in samples (39.30%). The findings of this study can help provide an overview of microplastic contamination in dairy production facilities and the potential human health risks associated with this microplastic exposure.</t>
  </si>
  <si>
    <t>10.31883/pjfns/163061</t>
  </si>
  <si>
    <t>Buyukunal, SK; Zipak, SR; Muratoglu, K</t>
  </si>
  <si>
    <t>Buyukunal, Serkan K.; Zipak, Sanae Rbaibi; Muratoglu, Karlo</t>
  </si>
  <si>
    <t>POLISH JOURNAL OF FOOD AND NUTRITION SCIENCES</t>
  </si>
  <si>
    <t>fermented milk product; production process; food pollution; microplastic particle</t>
  </si>
  <si>
    <t>PARTICLES; CONTAMINATION; TECHNOLOGY; METABOLISM; RELEASE; FIBERS</t>
  </si>
  <si>
    <t>[Buyukunal, Serkan K.; Muratoglu, Karlo] Istanbul Univ Cerrahpasa, Dept Food Hyg &amp; Technol, Istanbul, Turkiye; [Zipak, Sanae Rbaibi] Istanbul Univ Cerrahpasa, Grad Educ Inst, Istanbul, Turkiye</t>
  </si>
  <si>
    <t>Istanbul University - Cerrahpasa; Istanbul University - Cerrahpasa</t>
  </si>
  <si>
    <t>Muratoglu, K (corresponding author), Istanbul Univ Cerrahpasa, Dept Food Hyg &amp; Technol, Istanbul, Turkiye.</t>
  </si>
  <si>
    <t>karlomrt@iuc.edu.tr</t>
  </si>
  <si>
    <t>Büyükünal, Serkan Kemal/AAH-6899-2019; MURATOGLU, Karlo/E-4200-2012</t>
  </si>
  <si>
    <t>Büyükünal, Serkan Kemal/0000-0003-3676-2181; MURATOGLU, Karlo/0000-0001-8705-6813</t>
  </si>
  <si>
    <t>Scientific Research Projects Coordination Unit of Istanbul University-Cerrahpasa [TDK-2021-35711]</t>
  </si>
  <si>
    <t>Scientific Research Projects Coordination Unit of Istanbul University-Cerrahpasa</t>
  </si>
  <si>
    <t>This study was funded by the Scientific Research Projects Coordination Unit of Istanbul University-Cerrahpasa. Project number: TDK-2021-35711.</t>
  </si>
  <si>
    <t>INST ANIMAL REPRODUCTION &amp; FOOD RESEARCH POLISH ACAD SCIENCES OLSZTYN</t>
  </si>
  <si>
    <t>OLSZTYN</t>
  </si>
  <si>
    <t>UL J TUWIMA 10, OLSZTYN, 10-747, POLAND</t>
  </si>
  <si>
    <t>1230-0322</t>
  </si>
  <si>
    <t>2083-6007</t>
  </si>
  <si>
    <t>POL J FOOD NUTR SCI</t>
  </si>
  <si>
    <t>Pol. J. food Nutr. Sci.</t>
  </si>
  <si>
    <t>K0RM0</t>
  </si>
  <si>
    <t>WOS:001013606000004</t>
  </si>
  <si>
    <t>Micro- and mesoplastics in Northeast Levantine coast of Turkey: The preliminary results from surface samples</t>
  </si>
  <si>
    <t>The determination of the microplastic distribution will be beneficial as a measure of the potential effects on the environment. The Mediterranean Sea had a high risk of pollution as it was enclosed by highly populated and industrialized countries. Here, we determined the level of micro-and mesoplastic pollution in Iskenderun and Mersin Bays, located in the Northeastern Levantine coast of Turkey. The average level of both micro-and mesoplastic was determined to be 0376 item/m(2) at seven stations. The highest level was determined in Mersin Bay at the mouth of the Seyhan river (Station no. 7, with 906 items), and the lowest level was found in Station no. 4 in Iskenderun Bay (78 items). As a result of this study, it was determined that the microplastic pollution level in the Mediterranean coast of Turkey was similar to the other regions of the Mediterranean Sea. (C) 2017 Elsevier Ltd. All rights reserved.</t>
  </si>
  <si>
    <t>10.1016/j.marpolbul.2017.03.002</t>
  </si>
  <si>
    <t>Gundogdu, S; Cevik, C</t>
  </si>
  <si>
    <t>Gundogdu, Sedat; Cevik, Cem</t>
  </si>
  <si>
    <t>Microplastic; Mesoplastic; Marine litter; Levantine Sea; Mersin Bay; Iskenderun Bay</t>
  </si>
  <si>
    <t>WESTERN MEDITERRANEAN SEA; MARINE-ENVIRONMENT; PLASTIC DEBRIS; PELAGIC ECOSYSTEMS; SYNTHETIC-POLYMERS; TRAWL CATCHES; PACIFIC-OCEAN; MICROPLASTICS; LITTER; WATERS</t>
  </si>
  <si>
    <t>[Gundogdu, Sedat; Cevik, Cem] Cukurova Univ, Dept Basic Sci, Fac Fisheries, TR-01330 Adana, Turkey</t>
  </si>
  <si>
    <t>sgundogdu@cu.edu.tr; cem95@cu.edu.tr</t>
  </si>
  <si>
    <t>Çevik, Cem/E-7979-2018; Gündoğdu, Sedat/B-4475-2018</t>
  </si>
  <si>
    <t>Gündoğdu, Sedat/0000-0002-4415-2837; CEVIK, CEM/0000-0003-2760-3496</t>
  </si>
  <si>
    <t>This work was supported by the Scientific Research Project Unit of Cukurova University under grant number FBA-2016-7043.</t>
  </si>
  <si>
    <t>MAY 15</t>
  </si>
  <si>
    <t>1-2</t>
  </si>
  <si>
    <t>EW0YO</t>
  </si>
  <si>
    <t>WOS:000402217300052</t>
  </si>
  <si>
    <t>Decade of microplastic alteration in the southeastern black sea: An example of seahorse gastrointestinal tracts</t>
  </si>
  <si>
    <t>Unconscious and excessive use of plastic supports the diversity and abundance of microplastics (MPs) in marine environments. As a result of MP exposure, organisms in the marine environment are faced with adverse scenarios up to death. In this study, ten-year MP composition was investigated in gastrointestinal tracts (GITs) of low-mobility seahorses (90 individuals per period) from the Southeastern Black Sea. Seahorse GITs sampled during both 2012 and 2022 contain 102 and 135 MP items, respectively. The number of MPs per unit individual seahorse and unit seahorse weight was higher in the 2022 period. On the other hands, no significant differences were observed between the MP lengths of both periods. The majority of MPs in both sample periods were materials shorter than 1000 mu m. Of the eight found synthetic polymers, five belonged to the 2012 period, while seven were observed during the 2022 period. Additionally, the most abundant synthetic polymer for both periods is polyvinyl stearate (PVS). As a result, 43% of the total plastic material belonged to the 2012 period, while 57% was observed in the 2022 period. Considering both the diversity of polymers and the abundance of plastics, the region was adversely affected by plastic materials in the 2022 period.</t>
  </si>
  <si>
    <t>10.1016/j.envres.2022.115001</t>
  </si>
  <si>
    <t>Onay, H; Minaz, M; Ak, K; Er, A; Emanet, M; Karsli, B; Bilgin, S</t>
  </si>
  <si>
    <t>Onay, Hatice; Minaz, Mert; Ak, Kubra; Er, Akif; Emanet, Muammet; Karsli, Baris; Bilgin, Sabri</t>
  </si>
  <si>
    <t>ENVIRONMENTAL RESEARCH</t>
  </si>
  <si>
    <t>Microplastic; Seahorse; Black sea; Marine pollution; Monitoring</t>
  </si>
  <si>
    <t>DEMERSAL FISH; PELAGIC FISH; INGESTION; CONSERVATION; ENVIRONMENT; ORGANISMS; TRANSPORT; ATLANTIC; PLASTICS; RELEASE</t>
  </si>
  <si>
    <t>[Onay, Hatice; Minaz, Mert; Ak, Kubra; Er, Akif; Emanet, Muammet; Karsli, Baris] Recep Tayyip Erdogan Univ, Fac Fisheries, Rize, Turkiye; [Bilgin, Sabri] Sinop Univ, Fac Fisheries, Sinop, Turkiye</t>
  </si>
  <si>
    <t>Recep Tayyip Erdogan University; Sinop University</t>
  </si>
  <si>
    <t>ER, Akif/HTQ-1687-2023</t>
  </si>
  <si>
    <t>Minaz, Mert/0000-0003-1894-9807; ONAY, HATICE/0000-0003-3463-7360</t>
  </si>
  <si>
    <t>Research Fund of the Recep Tayyip Erdogan University [2013.103.03.1]</t>
  </si>
  <si>
    <t>Research Fund of the Recep Tayyip Erdogan University</t>
  </si>
  <si>
    <t>We would like to thank Dear Bayram Rakici (fisherman) for his support in supplying the samples for the 2022 period. In addition, 2012 seahorses were sampled as fisheries by-catch with the project supported by the Research Fund of the Recep Tayyip Erdogan University [Project Number 2013.103.03.1]. The relevant project was carried out with the special permission obtained from the Ministry of Agriculture and Forestry, the Republic of Turkiye.</t>
  </si>
  <si>
    <t>ACADEMIC PRESS INC ELSEVIER SCIENCE</t>
  </si>
  <si>
    <t>SAN DIEGO</t>
  </si>
  <si>
    <t>525 B ST, STE 1900, SAN DIEGO, CA 92101-4495 USA</t>
  </si>
  <si>
    <t>0013-9351</t>
  </si>
  <si>
    <t>1096-0953</t>
  </si>
  <si>
    <t>ENVIRON RES</t>
  </si>
  <si>
    <t>Environ. Res.</t>
  </si>
  <si>
    <t>7M0VN</t>
  </si>
  <si>
    <t>WOS:000906374900006</t>
  </si>
  <si>
    <t>Effect of microplastics and microplastic-metal combinations on growth and chlorophyll a concentration of Chlorella vulgaris</t>
  </si>
  <si>
    <t>Microplastic pollution has become a global problem and it is threatening soil and water bodies around the world. In this study, i) the sole effect of 0.5 mu m sized polystyrene microplastics under different concentrations (1, 5, 50, 100, and 1000 mg/L) and ii) the combined effect of the microplastic-metal combination (Cu, Zn, Mn) were investigated on the growth and chlorophyll a content of the freshwater miaoalgae: Chlorella vulgaris. Results showed that lower concentrations of microplastics (1, 5 mg/L) had no impact while higher concentrations (50, 100, 1000 mg/L) significantly reduced growth and chlorophyll a content of Chiorella vulgaris. Highest inhibition ratios were found between 15.71 and 28.86% on growth and 9.2-21.3% on chlorophyll a concentration for 50-1000 mg/L of microplastic Microplastic-metal combinations showed greater inhibition on growth and chlorophyll a concentration. It has been shown that single metal-microplastic combinations reduced growth by 47.83-49.57% and chlorophyll a concentration by 44.75-50.25%. However, a much higher impact was observed for the triple metal-microplastic combination by 70.43% and 64.09% on growth and chlorophyll a content, respectively. SEM images provided insight into the probable cause of the toxic effect as the microplastic particles were adsorbed and embedded on the algal cell. Negative effects were observed generally at the early stages of exposure and weakened over time. (C) 2020 Elsevier B.V. All rights reserved.</t>
  </si>
  <si>
    <t>10.1016/j.scitotenv.2020.140479</t>
  </si>
  <si>
    <t>Tunali, M; Uzoefuna, EN; Tunali, MM; Yenigun, O</t>
  </si>
  <si>
    <t>Tunali, Merve; Uzoefuna, Edwin Nnaemeka; Tunali, Mehmet Meric; Yenigun, Orhan</t>
  </si>
  <si>
    <t>Microplastics; Microalgae; Chlorella vulgaris; Metal-microplastic; Polystyrene</t>
  </si>
  <si>
    <t>MICROALGAE SKELETONEMA-COSTATUM; MARINE; NANOPARTICLES; TOXICITY; COPPER</t>
  </si>
  <si>
    <t>[Tunali, Merve; Tunali, Mehmet Meric; Yenigun, Orhan] Bogazici Univ, Inst Environm Sci, TR-34342 Istanbul, Turkey; [Uzoefuna, Edwin Nnaemeka; Yenigun, Orhan] European Univ Lefke, Gemikonagi, Lefke, Cyprus</t>
  </si>
  <si>
    <t>Bogazici University; Lefke Avrupa University</t>
  </si>
  <si>
    <t>Tunali, M (corresponding author), Bogazici Univ, Inst Environm Sci, TR-34342 Istanbul, Turkey.</t>
  </si>
  <si>
    <t>merve.tunali@boun.edu.tr</t>
  </si>
  <si>
    <t>; Yenigun, Orhan/C-5471-2012</t>
  </si>
  <si>
    <t>TUNALI, Mehmet Meric/0000-0003-0777-3404; TUNALI, MERVE/0000-0003-1612-4705; Yenigun, Orhan/0000-0002-5904-9832</t>
  </si>
  <si>
    <t>Bogazici University Research Fund [19Y00P1]</t>
  </si>
  <si>
    <t>The project is supported by Bogazici University Research Fund; Grant Number: 19Y00P1. We acknowledge Prof. Dr. Stephan H. Fuss from the Bogazici University for opening his laboratory for microscope use. We would like to thank Dr. Elif Akhuseyin from Ankara University for her support on SEM. We acknowledge Arinze Alex OKOYEUGHA for his support in conducting the experiments.</t>
  </si>
  <si>
    <t>NOV 15</t>
  </si>
  <si>
    <t>NU3JQ</t>
  </si>
  <si>
    <t>WOS:000573538400006</t>
  </si>
  <si>
    <t>Optical detection of microplastics in water</t>
  </si>
  <si>
    <t>Unfortunately, the plastic pollution increases at an exponential rate and drastically endangers the marine ecosystem. According to World Health Organization (WHO), microplastics in drinking water have become a concern and may be a risk to human health. One of the major efforts to fight against this problem is developing easy-to-use, low-cost, portable microplastic detection systems. To address this issue, here, we present our prototype device based on an optical system that can help detect the microplastics in water. This system that costs less than $370 is essentially a low-cost Raman spectrometer. It includes a collimated laser (5 mW), a sample holder, a notch filter, a diffraction grating, and a CCD sensor all integrated in a 3D printed case. Our experiments show that our system is capable of detecting microplastics in water having a concentration less than 0.015% w/v. We believe that the designed portable device can find a widespread use all over the world to monitor the microplastic content in an easier and cost-effective manner.</t>
  </si>
  <si>
    <t>10.1007/s11356-021-12358-2</t>
  </si>
  <si>
    <t>Iri, AH; Shahrah, MHA; Ali, AM; Qadri, SA; Erdem, T; Ozdur, IT; Icoz, K</t>
  </si>
  <si>
    <t>Iri, Ahmet H.; Shahrah, Malek H. A.; Ali, Ali M.; Qadri, Sayed A.; Erdem, Talha; Ozdur, Ibrahim T.; Icoz, Kutay</t>
  </si>
  <si>
    <t>Microplastic detection; Optical biosensor; Raman spectroscopy</t>
  </si>
  <si>
    <t>[Iri, Ahmet H.; Shahrah, Malek H. A.; Ali, Ali M.; Qadri, Sayed A.; Erdem, Talha; Ozdur, Ibrahim T.; Icoz, Kutay] Abdullah Gul Univ, Dept Elect Elect Engn, TR-38080 Kayseri, Turkey; [Icoz, Kutay] Opsentia Res &amp; Dev, TR-38030 Kayseri, Turkey</t>
  </si>
  <si>
    <t>Abdullah Gul University</t>
  </si>
  <si>
    <t>Icoz, K (corresponding author), Abdullah Gul Univ, Dept Elect Elect Engn, TR-38080 Kayseri, Turkey.;Icoz, K (corresponding author), Opsentia Res &amp; Dev, TR-38030 Kayseri, Turkey.</t>
  </si>
  <si>
    <t>kutay.icoz@agu.edu.tr</t>
  </si>
  <si>
    <t>Erdem, Talha/A-1323-2012; Icoz, Kutay/J-2063-2015; Ozdur, Ibrahim T/K-3223-2014</t>
  </si>
  <si>
    <t>Erdem, Talha/0000-0003-3905-376X; Icoz, Kutay/0000-0002-0947-6166; Ozdur, Ibrahim T/0000-0001-6452-0804; Iri, Ahmet Hakan/0000-0002-3745-4626</t>
  </si>
  <si>
    <t>TUBITAK 1512 Program [2180145]</t>
  </si>
  <si>
    <t>TUBITAK 1512 Program(Turkiye Bilimsel ve Teknolojik Arastirma Kurumu (TUBITAK))</t>
  </si>
  <si>
    <t>Authors acknowledge the TUBITAK 1512 Program (Project No.: 2180145) for financial support.</t>
  </si>
  <si>
    <t>JAN 2021</t>
  </si>
  <si>
    <t>XC3XH</t>
  </si>
  <si>
    <t>WOS:000608673400002</t>
  </si>
  <si>
    <t>Microplastic ingestion evidence by economically important farmed fish species from Turkey</t>
  </si>
  <si>
    <t>Microplastic pollution and its potential impacts on humans become a global concern. This study is the first study examining the microplastic ingestion in the commercially important species Oncorhynchus mykiss Rainbow trout (Walbaum, 1792), Sparus aurata Gilthead seabream Linnaeus, 1758, and Dicentrarchus labrax European seabass (Linnaeus, 1758) from Turkey. The occurrence frequency of microplastic (MP)in the gastrointestinal tract (GIT) was varied between 50 and 63 %. The highest MP abundance in the GIT was estimated in Rainbow trout (1.2 MPs individual(-1)) followed by European seabass (0.95 MPs individual(-1)) and Gilthead seabream (0.8 MPs individual(-1)). Most of the extracted microplastic particles were black (61 %) and blue (27 %) in color and fiber (80 %) in shape. Major identified polymers were polyethylene (25 %), polyester (20 %), polyamide (10 %). Since fish consumption is an important route for MPs, results light up the danger potential for humans. This study will fill the information gap in Turkey and show the necessity of protection measures in aquaculture industry.</t>
  </si>
  <si>
    <t>10.1016/j.marpolbul.2022.114097</t>
  </si>
  <si>
    <t>Kilic, E</t>
  </si>
  <si>
    <t>Kilic, Ece</t>
  </si>
  <si>
    <t>Seafood; Microplastic; Fish farm; Rainbow trout; Gilthead seabream; European seabass</t>
  </si>
  <si>
    <t>GASTROINTESTINAL-TRACT; MARINE-ENVIRONMENT; MEDITERRANEAN SEA; COMMERCIAL FISH; YELLOW SEA; POLLUTION; CONTAMINANTS; COASTAL; WATERS; FEED</t>
  </si>
  <si>
    <t>[Kilic, Ece] Iskenderun Tech Univ, Fac Marine Sci &amp; Technol, Dept Water Resources Management &amp; Org, Antakya, Turkey</t>
  </si>
  <si>
    <t>ece.kilic@iste.edu.tr</t>
  </si>
  <si>
    <t>Kılıç, Ece/HOH-3410-2023</t>
  </si>
  <si>
    <t>5A8ZA</t>
  </si>
  <si>
    <t>WOS:000863168100003</t>
  </si>
  <si>
    <t>Microplastic Abundance in Human-Influenced Soils in Recreational, Residential, and Industrial Areas</t>
  </si>
  <si>
    <t>Plastic pollution is a now global problem that affects terrestrial, marine, and freshwater ecosystems. Small plastic particles (&lt; 5 mm) are considered as microplastics (MPs) which can originate from primary and secondary sources. Microplastic pollution in terrestrial ecosystems is crucial since their abundance and flow are expected to be higher than aquatic systems. This research investigates the abundance and evaluation of current microplastic abundance in human-influenced soils to reveal the impact of different anthropogenic activities on soil MP contamination. Three main categories as industrial, residential, and recreational areas were considered, and samples from different land-uses for each category were collected in Istanbul, Turkey, and examined. Results showed that residential areas had the lowest MP content (mean = 3378 items/kg), while the highest abundance was found in recreational zones (mean = 7956 items/kg). The abundance of MPs in industrial areas was between these groups with a mean value of 4488 items/kg. The lowest concentration was observed in one of the residential zones with 1868 items/kg, and surprisingly, the highest content was found in a forestal recreational area (Belgrad forest) with 9332 items/kg. Shape ratios of particles were different for each category. Round/spherical particles had the highest share in industrial and residential areas with 34% and 32%, respectively, and fibers in recreational areas by 36%.</t>
  </si>
  <si>
    <t>10.1007/s11270-022-05901-5</t>
  </si>
  <si>
    <t>Tunali, MM; Myronyuk, O; Tunali, M; Yenigun, O</t>
  </si>
  <si>
    <t>Tunali, Mehmet Meric; Myronyuk, Oleksiy; Tunali, Merve; Yenigun, Orhan</t>
  </si>
  <si>
    <t>Microplastic; Land use; Soil; Human impact; Residential; Industrial; Recreational</t>
  </si>
  <si>
    <t>ENVIRONMENT; SEDIMENTS</t>
  </si>
  <si>
    <t>[Tunali, Mehmet Meric; Tunali, Merve; Yenigun, Orhan] Bogazici Univ, Inst Environm Sci, TR-34342 Istanbul, Turkey; [Myronyuk, Oleksiy] Natl Tech Univ Ukraine, Igor Sikorsky Kyiv Polytech Inst, Fac Chem Technol, Dept Chem Technol Composite Mat, Prosp Peremohy 37, UA-03056 Kiev, Ukraine; [Tunali, Merve] Swiss Fed Labs Mat Sci &amp; Technol, Lerchenfeldstr 5, CH-9014 St Gallen, Switzerland; [Yenigun, Orhan] European Univ Lefke, Sch Engn, Lefke, North Cyprus, Turkey</t>
  </si>
  <si>
    <t>Bogazici University; Ministry of Education &amp; Science of Ukraine; Igor Sikorsky Kyiv Polytechnic Institute; Swiss Federal Institutes of Technology Domain; Swiss Federal Laboratories for Materials Science &amp; Technology (EMPA); Lefke Avrupa University</t>
  </si>
  <si>
    <t>Yenigun, O (corresponding author), Bogazici Univ, Inst Environm Sci, TR-34342 Istanbul, Turkey.</t>
  </si>
  <si>
    <t>yeniguno@boun.edu.tr</t>
  </si>
  <si>
    <t>Myronyuk, Oleksiy/I-8423-2017; Yenigun, Orhan/C-5471-2012</t>
  </si>
  <si>
    <t>Myronyuk, Oleksiy/0000-0003-0499-9491; TUNALI, MERVE/0000-0003-1612-4705; Yenigun, Orhan/0000-0002-5904-9832</t>
  </si>
  <si>
    <t>Bogazici Research Fund [17383P]</t>
  </si>
  <si>
    <t>Bogazici Research Fund(Bogazici University)</t>
  </si>
  <si>
    <t>This study was partially supported by Bogazici Research Fund, Project No: 17383P. The authors thank Bogazici University, Department of Molecular Biology and Genetics, specifically Efe Elbeyli for his contribution towards microscopic evaluation. Acknowledgements also go to Ankara University, Nuclear Sciences Institute, Electron Microscope Laboratory, and Dr. Elif Yildiz for SEM imaging and analysis.</t>
  </si>
  <si>
    <t>5M4AM</t>
  </si>
  <si>
    <t>WOS:000871040200001</t>
  </si>
  <si>
    <t>Microplastic prevalence in anatolian water frogs (Pelophylax spp.)</t>
  </si>
  <si>
    <t>Frogs are on the verge of extinction due to various biotic and abiotic stressors. Rivers, lakes, ponds, wetlands, and ditches that make up their habitats are exposed to different anthropogenic pollutants. Today, plastics stand out among these pollutants due to their widespread use; however, the information on microplastic (MP) accumu-lation in frogs is insufficient. In the present study, adult frog samples were collected from 19 different stations in Turkiye, including marsh frogs (Pelophylax ridibundus) from 18 stations and levantine frogs (Pelophylax bedriagae) from 1 station. MP was found in 147 (82.4%) of the 176 frogs that were analyzed. MP abundance in frogs varied between 0.20 and 18.93 MP individual-1. The characterization of MPs was determined predominantly as follows; PET (70.1%) in polymer type, fiber (92.2%) in shape, navy blue/blue (76.1%) in color, and &gt; 90% were smaller than 300 mu m. No significant relationship with frog's weight (correlation coefficient = 0.01, P = 0.812) or length (correlation coefficient = 0.06, P = 0.473) and MP abundance was detected. The outcomes of this survey might be a baseline to assess the ecological risks posed by MPs and to guide future experimental research.</t>
  </si>
  <si>
    <t>10.1016/j.jenvman.2022.116029</t>
  </si>
  <si>
    <t>Tatli, HH; Altunisik, A; Gedik, K</t>
  </si>
  <si>
    <t>Tatli, Hatice Hale; Altunisik, Abdullah; Gedik, Kenan</t>
  </si>
  <si>
    <t>Amphibian; Microplastic; ATR-FTIR; Polymers; Levantine frog; Marsh frog</t>
  </si>
  <si>
    <t>MARINE; ENVIRONMENT; POLLUTION; PLASTICS</t>
  </si>
  <si>
    <t>[Tatli, Hatice Hale; Altunisik, Abdullah] Recep Tayyip Erdogan Univ, Fac Arts &amp; Sci, Dept Biol, Rize, Turkey; [Gedik, Kenan] Recep Tayyip Erdogan Univ, Vocat Sch Tech Sci, TR-53100 Rize, Turkey</t>
  </si>
  <si>
    <t>Gedik, K (corresponding author), Recep Tayyip Erdogan Univ, Vocat Sch Tech Sci, TR-53100 Rize, Turkey.</t>
  </si>
  <si>
    <t>kenan.gedik@erdogan.edu.tr</t>
  </si>
  <si>
    <t>Tatlı, Hale/AFC-3160-2022; Altunışık, Abdullah/ABI-3795-2020</t>
  </si>
  <si>
    <t>Tatlı, Hale/0000-0002-5864-092X; Altunışık, Abdullah/0000-0003-2934-7414; Gedik, Kenan/0000-0001-8244-6935</t>
  </si>
  <si>
    <t>NOV 1</t>
  </si>
  <si>
    <t>AUG 2022</t>
  </si>
  <si>
    <t>4F4LS</t>
  </si>
  <si>
    <t>WOS:000848485200004</t>
  </si>
  <si>
    <t>Microplastic Occurrence in the Gastrointestinal Tract of a Risso's Dolphin Grampus griseus in the Northeastern Mediterranean Sea</t>
  </si>
  <si>
    <t>Risso's dolphin Grampus griseus was stranded on the coast of Arsuz-Ulucinar, Iskenderun Bay, Turkey in the northeastern Mediterranean on 29 March 2022. This study was conducted to reveal the relationship between G. griseus and microplastic debris in the northeastern Mediterranean Sea. The gastrointestinal tract (GIT) of one stranding G. griseus was examined, and 454 microplastics particles were extracted. Of all, the majority of them were fibers (96%), black in colour (62%), and 0.5-1 mm in size (38%). This paper represents the first data indicating the microplastic abundance in G. griseus from the northeastern Mediterranean Sea. Also, it creates a baseline to understand the relationship between cetaceans and microplastics in this region.</t>
  </si>
  <si>
    <t>10.26650/ASE20221131876</t>
  </si>
  <si>
    <t>Yucel, N; Kilic, E; Turan, C; Demirhan, SA</t>
  </si>
  <si>
    <t>Yucel, Nebil; Kilic, Ece; Turan, Cemal; Demirhan, Sefa Ayhan</t>
  </si>
  <si>
    <t>Stranding dolphin; microplastic pollution; Iskenderun Bay; marine litter</t>
  </si>
  <si>
    <t>TURSIOPS-TRUNCATUS; COAST; DIET; NET</t>
  </si>
  <si>
    <t>[Yucel, Nebil; Kilic, Ece; Turan, Cemal; Demirhan, Sefa Ayhan] Iskenderun Tech Univ, Fac Marine Sci &amp; Technol, Antakya, Turkey</t>
  </si>
  <si>
    <t>Yucel, N (corresponding author), Iskenderun Tech Univ, Fac Marine Sci &amp; Technol, Antakya, Turkey.</t>
  </si>
  <si>
    <t>nebil.yucel@iste.edu.tr</t>
  </si>
  <si>
    <t>Yücel, Nebil/F-4053-2018</t>
  </si>
  <si>
    <t>Yücel, Nebil/0000-0003-2531-0198</t>
  </si>
  <si>
    <t>8O9WW</t>
  </si>
  <si>
    <t>WOS:000926184000008</t>
  </si>
  <si>
    <t>Microplastic pollution and human risk assessment in Turkish bottled natural and mineral waters</t>
  </si>
  <si>
    <t>Microplastics (MPs), which arise from the deterioration of larger plastics that are frequently used in daily life and are smaller than 5 mm in size, are found in many environments and can pose a serious threat to human health. Humans ingest these microplastics unintendedly through drinking water. Although plastic pollution has been extensively investigated in a variety of water sources, research on MP contamination in bottled waters is scarce. Hence, in this study, the presence and distribution of MPs were investigated in 150 samples of bottled natural and mineral water brands in Turkiye. Using FTIR stereoscopy and stereomicroscope analysis, MPs were detected in 43 out of the 50 (86%) of these brands. Among the four types of polymers detected, the most abundant type was polyethylene (33%), polypropylene (31%), polyethylene terephthalate (25%), and polyamid (11%). In comparison to natural waters, mineral waters had larger average-sized particles (63.98 +/- 4.06 vs. 104.83 +/- 14.28 mu m) and higher MP concentrations (4.6 +/- 0.5 vs. 12.6 +/- 1.6 particles/L). Although the most dominant shape was found as fiber in natural waters, fragments were more prevalent in mineral waters. The estimated daily intakes (EDI) for adults and children were expected to be 0.019 and 0.42 MP/kg/bw/day, respectively, in natural waters while EDI were 0.009 and 0.04 MP/kg/bw/day, respectively, in mineral waters. The results of the study suggest that the EDI and annual intake (EAI) are negligible when compared to other studies. The baseline data on MP contamination of bottled water provided in the present study may be significant and useful for researchers to have a better understanding of microplastic contamination exposure.</t>
  </si>
  <si>
    <t>10.1007/s11356-022-25054-6</t>
  </si>
  <si>
    <t>Contamination; Estimated daily intake; Microplastic; Plastic bottles; Water</t>
  </si>
  <si>
    <t>PARTICLES</t>
  </si>
  <si>
    <t>[Altunisik, Abdullah] Recep Tayyip Erdogan Univ, Fac Arts &amp; Sci, Biol Dept, TR-53100 Rize, Turkiye</t>
  </si>
  <si>
    <t>Altunisik, A (corresponding author), Recep Tayyip Erdogan Univ, Fac Arts &amp; Sci, Biol Dept, TR-53100 Rize, Turkiye.</t>
  </si>
  <si>
    <t>ALTUNISIK, Abdullah/0000-0003-2934-7414</t>
  </si>
  <si>
    <t>I3OD1</t>
  </si>
  <si>
    <t>WOS:000909510200012</t>
  </si>
  <si>
    <t>Detection of microplastic fibers tangle in deep-water rose shrimp (Parapenaeus longirostris, Lucas, 1846) in the northeastern Mediterranean Sea</t>
  </si>
  <si>
    <t>Microplastic (MP) pollution in marine environments has been a major global concern in recent years. Microplastic particles pose a threat in aquatic animals by accumulating in their digestive system, acting like a pollution vector, and they can also transfer to upper trophic levels. For that reason, commercially important deep-water rose shrimp Parapenaeus longirostris were employed in this study to examine the MP pollution status of two different regions (Samandag and Mersin offshore waters) of the northeastern Mediterranean Sea. MPs were detected in all examined specimens (average of 18.8 MPs ind(-1)), and fiber tangle-shaped like balls were observed by 22% and 9% at Samandag and Mersin, respectively. P. longirostris individuals from Samandag showed higher occurrence (100%) and higher accumulation (29.7 +/- 24.4 MPs ind(-1)). MP abundance extracted from the shrimp individuals from Samandag region was higher than that of previously reported shrimp species. The majority of extracted microplastics were fiber (100%), black (46%) in color and 1-2.5 mm in size. Polyethylene was identified as the most common polymer type by Fourier transform infrared spectroscopy (FTIR). This study is the first report to evaluate microplastic occurrence and fiber tangles in P. longirostris from northeastern Mediterranean Sea. Results obtained in this study will enhance the understanding of MP pollution among different trophic levels.</t>
  </si>
  <si>
    <t>10.1007/s11356-022-22898-w</t>
  </si>
  <si>
    <t>Yucel, N</t>
  </si>
  <si>
    <t>Yucel, Nebil</t>
  </si>
  <si>
    <t>Deep-water rose shrimp; Mersin; Samandag; Microplastic</t>
  </si>
  <si>
    <t>COAST; INGESTION; DECAPODA; SURFACE; CONTAMINATION; LANGOUSTINE; ORGANISMS; RETENTION; SEDIMENTS; LINNAEUS</t>
  </si>
  <si>
    <t>[Yucel, Nebil] Iskenderun Tech Univ, Fac Marine Sci &amp; Technol, Dept Water Resources Management &amp; Org, Antakya, Turkey</t>
  </si>
  <si>
    <t>Yucel, N (corresponding author), Iskenderun Tech Univ, Fac Marine Sci &amp; Technol, Dept Water Resources Management &amp; Org, Antakya, Turkey.</t>
  </si>
  <si>
    <t>F7SS7</t>
  </si>
  <si>
    <t>WOS:000852342500006</t>
  </si>
  <si>
    <t>Microplastic pollution at the intersection of the Aegean and Mediterranean Seas: A study of the Datca Peninsula (Turkey)</t>
  </si>
  <si>
    <t>This study aims to reveal microplastic pollution. It is the first to be conducted in the South Aegean Region and one of the limited numbers of such studies in Turkey. To this aim, in September 2018 microplastic particles (MP's) pollution was evaluated on the sandy beaches along the coastline of the Datca Peninsula (Southern Aegean coast of Turkey) located at the intersection of the Aegean and Mediterranean Seas. MP's were analyzed using standard operating procedure along with some experimental techniques. Prior to the identification process, microplastics ranging from 1 to 5 mm were exposed to an experimental pre-treatment and efficient polymer scanning. The results showed that fragments (72%) were the dominant category from all the beaches exposed to dominant winds and surface currents and that MP contamination in the Datca Peninsula was higher than that reported in the literature from similar locations around the world (1154.4 +/- 700.3 particles kg(-1) dw). More specifically the highest contamination was found in Aktur Beach (2073.3 +/- 648.6 particles kg(-1) dw) which could be considered as a hotspot for the whole region in terms of MP pollution. As a result of the study, as sampling stations are remote from major cities and industrial zones, maritime activities increase during summer season and tar has been observed on particles during analyses, it can be asserted that the pollution may be caused by marine resources.</t>
  </si>
  <si>
    <t>10.1016/j.marpolbul.2019.05.003</t>
  </si>
  <si>
    <t>Yabanli, M; Yozukmaz, A; Sener, I; Olmez, OT</t>
  </si>
  <si>
    <t>Yabanli, Murat; Yozukmaz, Aykut; Sener, Idris; Olmez, Ozge Tokul</t>
  </si>
  <si>
    <t>Microplastic pollution; Datca Peninsula; Experimental pre-treatment</t>
  </si>
  <si>
    <t>PLASTIC DEBRIS; MARINE-ENVIRONMENT; SYNTHETIC-POLYMERS; BEACH SEDIMENTS; SANDY BEACHES; BALTIC SEA; INGESTION; ABUNDANCE; IMPACTS; ESTUARY</t>
  </si>
  <si>
    <t>[Yabanli, Murat; Yozukmaz, Aykut; Sener, Idris] Mugla Sitki Kocman Univ, Fac Fisheries, Dept Aquat Sci, Mugla, Turkey; [Olmez, Ozge Tokul] Mugla Sitki Kocman Univ, Fac Sci, Dept Chem, Mugla, Turkey</t>
  </si>
  <si>
    <t>Mugla Sitki Kocman University; Mugla Sitki Kocman University</t>
  </si>
  <si>
    <t>Yozukmaz, A (corresponding author), Mugla Sitki Kocman Univ, Fac Fisheries, Dept Aquat Sci, Mugla, Turkey.</t>
  </si>
  <si>
    <t>aykutyozukmaz@mu.edu.tr</t>
  </si>
  <si>
    <t>Yabanli, Murat/X-1829-2018; Şener, İdris/AAS-6961-2021; YOZUKMAZ, Aykut/V-3555-2017</t>
  </si>
  <si>
    <t>Sener, Idris/0000-0003-1753-0553; YABANLI, Murat/0000-0002-9615-2222; TOKUL OLMEZ, OZGE/0000-0002-2093-4949; YOZUKMAZ, Aykut/0000-0003-2575-3044</t>
  </si>
  <si>
    <t>IS9UI</t>
  </si>
  <si>
    <t>WOS:000482493000008</t>
  </si>
  <si>
    <t>First evaluation of neustonic microplastics in Black Sea waters</t>
  </si>
  <si>
    <t>The Black Sea has a high risk of plastic pollution given the high river discharge of several industrialized countries into this semi-enclosed sea. Here, for the first time, the occurrence and distribution of microplastics are reported for the Black Sea. Microplastics were assessed from zooplankton samples taken during two cruises along the south eastern coast of the Black Sea in the November of 2014 and February of 2015. In each cruise neuston samples were collected at 12 stations using a WP2 net with 200 mu m mesh. Microplastics (0.2-5 mm) were found in 92% of the samples. The primary shapes were fibres (49.4%) followed by plastic films (30.6%) and fragments (20%), and no micro beads were found. Average microplastic concentration in November (1.2 +/- 1.1 x 10(3) par. m(-3)) was higher than in February (0.6 +/- 0.55 x 10(3) par. m(-3)). Reduced concentrations in February were possibly caused by increased mixing. The highest concentrations of microplastics were observed in offshore stations during November sampling. The heterogeneous spatial distribution (0.2 x 103(-33) x 10(3) par. M-3 for all samples) and accumulation in some stations could be associated to transport and retention mechanisms linked with wind and the dynamics of the rim current, as well by different sources of plastic. There were no statistically significant differences in MP concentration between sampling stations and sampling periods (t test, p &lt; 0.05).The relatively high microplastic concentrations suggest that Black Sea is a hotspot for microplastic pollution and there is an urgency to understand their origins, transportation and effects on marine life. (C) 2016 Elsevier Ltd. All rights reserved.</t>
  </si>
  <si>
    <t>10.1016/j.marenvres.2016.05.009</t>
  </si>
  <si>
    <t>Aytan, U; Valente, A; Senturk, Y; Usta, R; Sahin, FBE; Mazlum, RE; Agirbas, E</t>
  </si>
  <si>
    <t>Aytan, Ulgen; Valente, Andre; Senturk, Yasemen; Usta, Riza; Sahin, Fatma Basak Esensoy; Mazlum, Rahsan Evren; Agirbas, Ertugrul</t>
  </si>
  <si>
    <t>MARINE ENVIRONMENTAL RESEARCH</t>
  </si>
  <si>
    <t>Microplastic; Zooplankton; Neuston; Bioavailability; MSFD; Black Sea</t>
  </si>
  <si>
    <t>MYTILUS-EDULIS L.; MARINE-ENVIRONMENT; PLASTIC PARTICLES; COASTAL WATERS; PACIFIC-OCEAN; SOLID-WASTE; ZOOPLANKTON; ABUNDANCE; POLLUTION; SURFACE</t>
  </si>
  <si>
    <t>[Aytan, Ulgen; Senturk, Yasemen; Usta, Riza; Sahin, Fatma Basak Esensoy; Mazlum, Rahsan Evren; Agirbas, Ertugrul] Recep Tayyip Erdogan Univ, Fac Fisheries, TR-53100 Rize, Turkey; [Valente, Andre] Univ Lisbon, Fac Sci, Marine &amp; Environm Sci Ctr MARE, P-1749016 Lisbon, Portugal</t>
  </si>
  <si>
    <t>Recep Tayyip Erdogan University; Universidade de Lisboa</t>
  </si>
  <si>
    <t>Aytan, U (corresponding author), Recep Tayyip Erdogan Univ, Fac Fisheries, TR-53100 Rize, Turkey.</t>
  </si>
  <si>
    <t>ulgen.kopuz@erdogan.edu.tr</t>
  </si>
  <si>
    <t>Mazlum, Rahsan Evren/W-1805-2017; Valente, Andre S. F. G./G-5244-2016; Agirbas, Ertugrul/ABD-4664-2020; Nemlioglu, Semih/D-8722-2019; Aytan, Ulgen/G-5253-2016; Sahin, Fatma Basak Esensoy/U-1480-2017; NEMLIOGLU, SEMIH/AAH-8909-2019; ŞENTÜRK, YASEMEN/ABB-7032-2020</t>
  </si>
  <si>
    <t>Valente, Andre S. F. G./0000-0002-8789-7038; Agirbas, Ertugrul/0000-0001-7987-9668; Nemlioglu, Semih/0000-0002-9938-4651; Aytan, Ulgen/0000-0002-6530-3083; Sahin, Fatma Basak Esensoy/0000-0001-7046-3842; ŞENTÜRK, YASEMEN/0000-0001-8292-399X</t>
  </si>
  <si>
    <t>TUBITAK (The Scientific and Technological Research Council of Turkey) [113Y189]</t>
  </si>
  <si>
    <t>TUBITAK (The Scientific and Technological Research Council of Turkey)(Turkiye Bilimsel ve Teknolojik Arastirma Kurumu (TUBITAK))</t>
  </si>
  <si>
    <t>This work was partly supported by TUBITAK (The Scientific and Technological Research Council of Turkey) (Project No: 113Y189). We are grateful to Dr. Ilknur YILDIZ, Dr. Ahmet SAHIN, Mustafa BAKIRCI, and Yusuf Ozden for their help during sampling. We also thank to captain and crew of the R/V SURAT ARASTIRMA I for their support at sea.</t>
  </si>
  <si>
    <t>0141-1136</t>
  </si>
  <si>
    <t>1879-0291</t>
  </si>
  <si>
    <t>MAR ENVIRON RES</t>
  </si>
  <si>
    <t>Mar. Environ. Res.</t>
  </si>
  <si>
    <t>Environmental Sciences; Marine &amp; Freshwater Biology; Toxicology</t>
  </si>
  <si>
    <t>Environmental Sciences &amp; Ecology; Marine &amp; Freshwater Biology; Toxicology</t>
  </si>
  <si>
    <t>DT0IU</t>
  </si>
  <si>
    <t>WOS:000381168000003</t>
  </si>
  <si>
    <t>Microplastic Composition, Load and Removal Efficiency from Wastewater Treatment Plants Discharging into Orontes River</t>
  </si>
  <si>
    <t>Wastewater treatment plants (WWTPs) are the last stop for microplastic particles generated by anthropogenic activities before they enter the aquatic environment. In this study, three WWTPs discharging into Orontes River were investigated in terms of microplastic (MP) composition, microplastic abundance, treatment and load. Two of the WWTPs apply secondary treatment with activated sludge system and trickling filter, whereas the last WWTP apply tertiary treatment with a membrane bioreactor. When all data are combined, mean MPs abundance in the influent and effluent samples were found as 57.2 MPs/L and 2.1 MPs/L, respectively. The highest MPs removal was achieved by the membrane bioreactor (99%) and followed by the trickling filter (98%) and activated sludge process (91%). In terms of composition, fibers were dominant in both influent (94%) and effluent waters (94%). Common size of MPs in the influent waters was 500-1000 mu m and decreased to &lt; 500 mu m after treatment. Polyamide (PA), polyethylene (PE), polyethylene terephthalate (PET) are the main polymers and account for 77% of sampled MPs. Even though the MPs removal rate is significantly high, approximately 45 million of MPs discharged from WWTPs into Orontes River every day. For this reason, examined WWTPs could be considered as a point source of MPs and could harm the water quality and aquatic biota.</t>
  </si>
  <si>
    <t>10.1007/s41742-023-00514-0</t>
  </si>
  <si>
    <t>Kilic, E; Yucel, N; Sahutoglu, SM</t>
  </si>
  <si>
    <t>Kilic, Ece; Yucel, Nebil; Sahutoglu, Seycan M.</t>
  </si>
  <si>
    <t>INTERNATIONAL JOURNAL OF ENVIRONMENTAL RESEARCH</t>
  </si>
  <si>
    <t>Microplastic pollutants; Wastewater treatment plant; Microplastic effluents; Microplastic removal</t>
  </si>
  <si>
    <t>ACTIVATED-SLUDGE PROCESS; FATE; PARTICLES</t>
  </si>
  <si>
    <t>[Kilic, Ece; Yucel, Nebil] Iskenderun Tech Univ, Fac Marine Sci &amp; Technol, Dept Water Resources Management &amp; Org, Iskenderun, Hatay, Turkiye; [Sahutoglu, Seycan M.] Hatay Metropolitan Municipal, Antakya, Hatay, Turkiye</t>
  </si>
  <si>
    <t>Kilic, E (corresponding author), Iskenderun Tech Univ, Fac Marine Sci &amp; Technol, Dept Water Resources Management &amp; Org, Iskenderun, Hatay, Turkiye.</t>
  </si>
  <si>
    <t>ece.kilic@iste.edu.tr; nebil.yucel@iste.edu.tr; seycan.mubarek@gmail.com</t>
  </si>
  <si>
    <t>1735-6865</t>
  </si>
  <si>
    <t>2008-2304</t>
  </si>
  <si>
    <t>INT J ENVIRON RES</t>
  </si>
  <si>
    <t>Int. J. Environ. Res.</t>
  </si>
  <si>
    <t>9D2IG</t>
  </si>
  <si>
    <t>WOS:000935925600001</t>
  </si>
  <si>
    <t>Microplastics composition and load from three wastewater treatment plants discharging into Mersin Bay, north eastern Mediterranean Sea</t>
  </si>
  <si>
    <t>Copious quantities of microplastics enter the sewage system on a daily basis, and hence wastewater treatment plants (WWTPs) could be an important source of microplastic pollution in coastal waters. Influent and effluent discharges from three WWTPs in Mersin Bay, Turkey were sampled at monthly intervals over a one-year period during 2017. When data from all WWTPs were combined, fibers constituted the dominant particle form, accounting for 69.7% of total microplastics. Although notable oscillations in microplastic particle concentrations were observed throughout the year influent waters on average contained about 2.5-fold greater concentrations of microplastics compared to the effluent waters. An average of 0.9 microplastic particles were found per liter of effluent from the three WWTPs amounting to around 180 x 10(6) particles per day to Mersin Bay. This shows that despite their ability to remove 55-97% of microplastics, WWTPs are one of the main sources of microplastics to the northeast Mediterranean Sea.</t>
  </si>
  <si>
    <t>10.1016/j.marpolbul.2019.110776</t>
  </si>
  <si>
    <t>Akarsu, C; Kumbur, H; Gokdag, K; Kideys, AE; Sanchez-Vidal, A</t>
  </si>
  <si>
    <t>Akarsu, Ceyhun; Kumbur, Halil; Gokdag, Kerem; Kideys, Ahmet E.; Sanchez-Vidal, Anna</t>
  </si>
  <si>
    <t>Microplastics; Mediterranean; Wastewater treatment plants; Fibers; Mersin Bay</t>
  </si>
  <si>
    <t>PLASTIC DEBRIS; POLLUTION; LITTER; IDENTIFICATION; FATE; ACCUMULATION; PARTICLES; REMOVAL; CLIMATE; BASIN</t>
  </si>
  <si>
    <t>[Akarsu, Ceyhun; Kumbur, Halil] Mersin Univ, Dept Environm Engn, TR-33343 Yenisehir, Mersin, Turkey; [Gokdag, Kerem; Kideys, Ahmet E.] Middle East Tech Univ, Inst Marine Sci, TR-33731 Erdemli, Mersin, Turkey; [Sanchez-Vidal, Anna] Univ Barcelona, Dept Earth &amp; Ocean Dynam, CRG Marine Geosci, Barcelona, Spain</t>
  </si>
  <si>
    <t>Mersin University; Middle East Technical University; University of Barcelona</t>
  </si>
  <si>
    <t>Akarsu, C (corresponding author), Mersin Univ, Dept Environm Engn, TR-33343 Yenisehir, Mersin, Turkey.</t>
  </si>
  <si>
    <t>KIDEYS, Ahmet E/Q-1824-2015; KIDEYS, Ahmet Erkan/HZK-4698-2023; GÖKDAĞ, Kerem/GXF-3890-2022; Kumbur, Halil/N-3681-2015; Akarsu, Ceyhun/G-4632-2016; Sanchez-Vidal, Anna/B-6919-2016</t>
  </si>
  <si>
    <t>GÖKDAĞ, Kerem/0000-0002-3800-0482; Akarsu, Ceyhun/0000-0002-0168-9941; Sanchez-Vidal, Anna/0000-0002-8209-1959; KIDEYS, AHMET ERKAN/0000-0002-1113-2434</t>
  </si>
  <si>
    <t>Scientific and Technological Research Council of Turkey (TUBITAK) [CAYDAG-114Y244, CAYDAG-116Y391]</t>
  </si>
  <si>
    <t>This research was supported by the Scientific and Technological Research Council of Turkey (TUBITAK) grants; CAYDAG-114Y244 (Estimating the quantity and composition of microplastics in the Mediterranean coast of Turkey; the potential for bioaccumulation in seafood), and CAYDAG-116Y391 (Investigation of Microplastic Quantity in Domestic Wastewater and Microplastic Removal Methods). We thank N. Ferrer from the Scientific and Technical Centers of the University of Barcelona for technical assistance with the FT-IR analysis. Thanks also to Ertan KES and Mehmet OZALP for their efforts in the laboratory and to the two anonymous referees for their comments which greatly improved the manuscript.</t>
  </si>
  <si>
    <t>WOS:000509611200110</t>
  </si>
  <si>
    <t>Stuffed with microplastics: Microplastic occurrence in traditional stuffed mussels sold in the Turkish market</t>
  </si>
  <si>
    <t>Microplastic (MP) pollution is a ubiquitous and persistent pollution problem in the marine environment that is threatening marine life. In this study, the presence of MP in stuffed mussels sold in 5 Turkish cities was examined. The microplastic content of ready-to-eat stuffed mussels purchased from 41 different vendors in 5 different cities was studied using chemical digestion, density separation, and n-Raman spectroscopy. The average amount of MP in the stuffed mussels was determined as 0.6 +/- 0.1 (median = 0.6; IQR = 0.7) MP mussel(-1). Among the 5 cities, the highest number of MP was found in Istanbul with 0.9 +/- 0.1 MP mussel(-1), while the lowest number was found in Bodrum with 0.3 +/- 0.1 MP mussel(-1). The MP were identified as fiber type 62.7% and fragment type 37.3%. According to the mu-Raman analysis, the largest amounts of identified polymer types were polyethylene 35% and polypropylene 15%. Stuffed mussels purchased from 92% of the vendors contained MP. If an average consumer eats 100 g of stuffed mussels/portion, it is estimated that there is a risk of consuming 5.8 MP/portion. MP pollution is a serious problem in seafood. This study showed that stuffed mussels could be one way in which humans are exposed to MP. Due to the possible increase of MP load in the over-processing of seafood products, the results suggested that the quantification of MP should also be included as a component of food security systems.</t>
  </si>
  <si>
    <t>10.1016/j.fbio.2020.100715</t>
  </si>
  <si>
    <t>Gundogdu, S; Cevik, C; Atas, NT</t>
  </si>
  <si>
    <t>Gundogdu, Sedat; Cevik, Cem; Atas, Nihan Temiz</t>
  </si>
  <si>
    <t>FOOD BIOSCIENCE</t>
  </si>
  <si>
    <t>Microplastic; Stuffed mussel; Food contamination; Mytilus galloprovincialis; Plastic pollution</t>
  </si>
  <si>
    <t>TABLE SALTS; CONTAMINATION; POLLUTION; BIVALVES; TURKEY; SEA</t>
  </si>
  <si>
    <t>[Gundogdu, Sedat; Cevik, Cem] Cukurova Univ, Fac Fisheries, Dept Basic Sci, TR-01330 Adana, Turkey; [Atas, Nihan Temiz] Greenpeace Mediterranean Turkey Off, TR-34365 Istanbul, Turkey</t>
  </si>
  <si>
    <t>Greenpeace Mediterranean as part of the Microplastic contents of seafoods along the Turkish coasts: Don't get rid of plastic! (Turkiye'deki Deniz Canlilarinda Mikroplastik Kirliligi: Plastikten Kurtul Oltaya Gelme) project</t>
  </si>
  <si>
    <t>This study is supported by Greenpeace Mediterranean as part of the Microplastic contents of seafoods along the Turkish coasts: Don't get rid of plastic! (Turkiye'deki Deniz Canlilarinda Mikroplastik Kirliligi: Plastikten Kurtul Oltaya Gelme) project.</t>
  </si>
  <si>
    <t>2212-4292</t>
  </si>
  <si>
    <t>2212-4306</t>
  </si>
  <si>
    <t>FOOD BIOSCI</t>
  </si>
  <si>
    <t>Food Biosci.</t>
  </si>
  <si>
    <t>NT9PT</t>
  </si>
  <si>
    <t>WOS:000573273900008</t>
  </si>
  <si>
    <t>Microplastic inventory in sediment profile: A case study of Golden Horn Estuary, Sea of Marmara</t>
  </si>
  <si>
    <t>Assessment of microplastics (MPs) in sediment cores is necessary to unveil global plastic pollution since most of the plastic litter might have been stored in sediment columns. In the current study, MPs inventory was determined in a 105 cm sediment core, collected in the Golden Horn Estuary, Sea of Marmara. Radiodating of sediment profile by using naturally occurring Pb-210 and fission product Cs-137 allowed us to couple the retrospective of global MP production to sediment MPs inventory. More than 90% of total MPs inventory was found in the deep layer of the sediment column (below 15 cm). Small MPs (20-200 mu m) were more abundant than large ones (200-4000 mu m). Elevated concentrations of MPs were attributed to industrial and municipal effluent of Istanbul metropolitan. On a local scale, this study suggests that the Golden Horn Estuary was polluted with MPs before the 1950s, and the abundance of MPs reached a maximum in the 1980s. We also propose on a global scale that the missing plastics might have been buried in deep sediment and radiodating of sediment is useful to reveal their historical input records.</t>
  </si>
  <si>
    <t>10.1016/j.marpolbul.2021.113117</t>
  </si>
  <si>
    <t>Belivermis, M; Kilic, O; Sezer, N; Sikdokur, E; Gungor, ND; Altug, G</t>
  </si>
  <si>
    <t>Belivermis, Murat; Kilic, Onder; Sezer, Narin; Sikdokur, Ercan; Gungor, Nihal Dogruoz; Altug, Gulsen</t>
  </si>
  <si>
    <t>Microplastic; Pollution; Sediment core; Radiodating; Cs-137; Pb-210; Nile red staining</t>
  </si>
  <si>
    <t>20 MU-M; NILE RED; METAL POLLUTION; MARINE; QUANTIFICATION; BOSPORUS; BEACHES</t>
  </si>
  <si>
    <t>[Belivermis, Murat; Kilic, Onder; Gungor, Nihal Dogruoz] Istanbul Univ, Fac Sci, Dept Biol, TR-34134 Istanbul, Turkey; [Sezer, Narin] Istanbul Arel Univ, Med Serv &amp; Tech Dept, Med Lab Tech Program, TR-34295 Istanbul, Turkey; [Sikdokur, Ercan] Koc Univ, Dept Mol Biol &amp; Genet, TR-34450 Istanbul, Turkey; [Altug, Gulsen] Istanbul Univ, Fac Aquat Sci, Dept Marine Biol, TR-34470 Istanbul, Turkey</t>
  </si>
  <si>
    <t>Istanbul University; Istanbul Arel University; Koc University; Istanbul University</t>
  </si>
  <si>
    <t>Belivermis, M (corresponding author), Istanbul Univ, Fac Sci, Dept Biol, TR-34134 Istanbul, Turkey.</t>
  </si>
  <si>
    <t>belmurat@istanbul.edu.tr</t>
  </si>
  <si>
    <t>Belivermiş, Murat/AAC-8059-2020; DOĞRUÖZ GÜNGÖR, Nihal/AAT-2765-2020</t>
  </si>
  <si>
    <t>Belivermiş, Murat/0000-0003-4826-5246; DOĞRUÖZ GÜNGÖR, Nihal/0000-0002-8098-039X; Sikdokur, Ercan/0000-0002-6170-2300</t>
  </si>
  <si>
    <t>Scientific Research Projects Coordination Unit of Istanbul University [30590]; Scientific and Technological Research Council of Turkey (TUBITAK) [112Y060]</t>
  </si>
  <si>
    <t>Scientific Research Projects Coordination Unit of Istanbul University(Istanbul University); Scientific and Technological Research Council of Turkey (TUBITAK)(Turkiye Bilimsel ve Teknolojik Arastirma Kurumu (TUBITAK))</t>
  </si>
  <si>
    <t>This study was supported by the Scientific Research Projects Coordination Unit of Istanbul University with project number: 30590 and The Scientific and Technological Research Council of Turkey (TUBITAK) with project number: 112Y060.</t>
  </si>
  <si>
    <t>NOV 2021</t>
  </si>
  <si>
    <t>WZ2HM</t>
  </si>
  <si>
    <t>WOS:000719792800002</t>
  </si>
  <si>
    <t>First report of occurrence, distribution, and composition of microplastics in surface waters of the Sea of Marmara, Turkey</t>
  </si>
  <si>
    <t>Plastic is produced today in large quantities and used for many purposes. At the end of use, a large part of it gets into the environment, often into the sea and there it is fragmented into the smallest fragments, so-called microplastic (MP). MPs pose a serious challenge to the marine environment such as the sources and properties of MP particles, their impact on marine organisms, and the challenges of environmental pollution. This work, carried out in the fourteen sites in the area, is the first reference to the detection of MP distribution at surface waters in the Sea of Marmara, Turkey. As a result of this study, the average level of MP in the surface was determined to be 1.263 item/m(2). The results were higher compared of the most other adjacent regions and show that the Sea of Marmara started to face that problem.</t>
  </si>
  <si>
    <t>10.1016/j.marpolbul.2018.06.054</t>
  </si>
  <si>
    <t>Tuncer, S; Artuz, OB; Demirkol, M; Artuz, ML</t>
  </si>
  <si>
    <t>Tuncer, Sezginer; Artuz, O. Bulent; Demirkol, Mustafa; Artuz, M. Levent</t>
  </si>
  <si>
    <t>Microplastic; Marine litter; Sea of Marmara; Debris; Surface waters; Turkish Straits</t>
  </si>
  <si>
    <t>LEVANTINE COAST; PLASTIC DEBRIS; ZOOPLANKTON; ENVIRONMENT; BAY</t>
  </si>
  <si>
    <t>[Tuncer, Sezginer; Demirkol, Mustafa] Canakkale Onsekiz Mart Univ, Fac Marine Sci &amp; Technol, Terzioglu Campus, TR-17100 Canakkale, Turkey; [Artuz, O. Bulent; Artuz, M. Levent] Sevinc Erdal Inonu Fdn, MAREM Marmara Environm Monitoring Project, Dept Marine Sci, Anadoluhisart Toplaronu 8, TR-34810 Istanbul, Turkey</t>
  </si>
  <si>
    <t>Canakkale Onsekiz Mart University; Sevinc Erdal Inonu Foundation</t>
  </si>
  <si>
    <t>Tuncer, S (corresponding author), Canakkale Onsekiz Mart Univ, Fac Marine Sci &amp; Technol, Terzioglu Campus, TR-17100 Canakkale, Turkey.</t>
  </si>
  <si>
    <t>stuncer@comu.edu.tr</t>
  </si>
  <si>
    <t>Artüz, M. Levent/O-5334-2015</t>
  </si>
  <si>
    <t>Artüz, M. Levent/0000-0002-1670-2600</t>
  </si>
  <si>
    <t>Kartal Municipality</t>
  </si>
  <si>
    <t>The authors gratefully acknowledge the Sevinc-Erdal Inonu Foundation, owner of the main project MAREM (Marmara Environmental Monitoring), and also the crew of the vessel 'Oktay 4' for their help in collecting the material, and to the Kartal Municipality and the mayor Altinok Ors, for partial financial support to the main project. The authors thank Prof. Dr. Oguz Okay, Esra Su, and Burak Tavsanli from Chemistry Department, Istanbul Technical University for FTIR and DSC measurements.</t>
  </si>
  <si>
    <t>GX9BT</t>
  </si>
  <si>
    <t>WOS:000448094200033</t>
  </si>
  <si>
    <t>Protracted dynamicity of microplastics in the coastal sediment of the Southeast Black Sea</t>
  </si>
  <si>
    <t>This study provided the first evaluation of microplastic abundance, features, risk assessment, and decade - changing status in sediment along the southeastern Black Sea coast. Sediment samples were collected from thirteen stations in the Southeast Black Sea in 2012 and 2022. &gt;70 % of the detected microplastics had a length of up to 2.5 mm and consisted of fragments and fibers in shape. The average microplastic abundance in the sediment samples was 108 MP/kg. The composition in the sediment (particles/kg) was dominated by poly- ethylene (PE) (44.9 %), polyethylene terephthalate (PET) (27.2 %), and polypropylene PP (15.2 %). Remarkable results for contamination factors, polymeric risk assessment and contamination risk indices. The sharp rise in MPS highlighted the heavily populated stations and stream discharge locations. The data shed light on anthropogenic and basal microplastic pollution in the Southeast Black Sea, assisting in developing effective policies for preserving and managing the Black Sea environment.</t>
  </si>
  <si>
    <t>10.1016/j.marpolbul.2023.114722</t>
  </si>
  <si>
    <t>Akkan, T; Gedik, K; Mutlu, T</t>
  </si>
  <si>
    <t>Akkan, Tamer; Gedik, Kenan; Mutlu, Tanju</t>
  </si>
  <si>
    <t>Microplastic; Black Sea; Risk assessment; Sediment</t>
  </si>
  <si>
    <t>HEAVY-METAL; POLLUTION; ACCUMULATION; ABUNDANCE; IMPACTS; GIRESUN; ZONE</t>
  </si>
  <si>
    <t>[Akkan, Tamer] Giresun Univ, Arts &amp; Sci Fac, Biol Dept, Giresun, Turkiye; [Gedik, Kenan; Mutlu, Tanju] Recep Tayyip Erdogan Univ, Vocat Sch Tech Sci, Rize, Turkiye</t>
  </si>
  <si>
    <t>Giresun University; Recep Tayyip Erdogan University</t>
  </si>
  <si>
    <t>Akkan, T (corresponding author), Giresun Univ, Arts &amp; Sci Fac, Biol Dept, Giresun, Turkiye.</t>
  </si>
  <si>
    <t>biyoloji@yahoo.com</t>
  </si>
  <si>
    <t>Mutlu, Tanju/AAA-9256-2022; AKKAN, TAMER/O-8851-2018</t>
  </si>
  <si>
    <t>AKKAN, TAMER/0000-0002-9866-4475</t>
  </si>
  <si>
    <t>9S9QZ</t>
  </si>
  <si>
    <t>WOS:000946671300001</t>
  </si>
  <si>
    <t>Impact of coastal wastewater treatment plants on microplastic pollution in surface seawater and ecological risk assessment</t>
  </si>
  <si>
    <t>This study aims to understand the influence of wastewater treatment plant discharge on the microplastic status in the surface seawater of Istanbul. For this purpose, for the first time, the distribution, composition, and ecological risk of microplastics at nine sampling stations on the southern coast of Istanbul, Marmara, were investigated at monthly intervals over a one-year period. The results showed that the microplastic abundance ranged from 0 to over 1000 particles per liter. Fibers were the dominant form at all stations. Microplastics 249-100 mu m were the dominant size, and transparency was the color most found at all stations. Polyethylene and ethylene-vinyl acetate were the major types of microplastics, accounting for 50% overall. The pollution load index revealed that over 70% of sampling stations were at hazard level I. However, the hazardous index was categorized as level III with a value of 662.3 due to the presence of the most hazardous polymer named polyurethane. Further investigations into the risk assessment of MP can reveal crucial knowledge for understanding the microplastic cycle.</t>
  </si>
  <si>
    <t>10.1016/j.envpol.2022.120922</t>
  </si>
  <si>
    <t>Sonmez, VZ; Akarsu, C; Sivri, N</t>
  </si>
  <si>
    <t>Sonmez, Vildan Zulal; Akarsu, Ceyhun; Sivri, Nuket</t>
  </si>
  <si>
    <t>Carbonyl index; Coastal water; Hazardous index; Microplastic; Pollution load index; Risk assessment</t>
  </si>
  <si>
    <t>CHANGJIANG ESTUARY; MARINE-ENVIRONMENT; 1ST REPORT; ABUNDANCE; PARTICLES; SEA; BAY; DEBRIS; RIVER; CONTAMINATION</t>
  </si>
  <si>
    <t>[Sonmez, Vildan Zulal; Akarsu, Ceyhun; Sivri, Nuket] Istanbul Univ Cerrahpasa, Dept Environm Engn, TR-34320 Istanbul, Turkey</t>
  </si>
  <si>
    <t>Sonmez, VZ (corresponding author), Istanbul Univ Cerrahpasa, Dept Environm Engn, TR-34320 Istanbul, Turkey.</t>
  </si>
  <si>
    <t>zulal.sonmez@iuc.edu.tr</t>
  </si>
  <si>
    <t>Sivri, Nuket/AFM-4107-2022; Sonmez, V. Zulal/V-1999-2018</t>
  </si>
  <si>
    <t>Sivri, Nuket/0000-0002-4269-5950; Sonmez, V. Zulal/0000-0002-7488-2996</t>
  </si>
  <si>
    <t>Scientific and Technological Research Council of T?rkiye (TUBITAK) [121Y073]</t>
  </si>
  <si>
    <t>Scientific and Technological Research Council of T?rkiye (TUBITAK)(Turkiye Bilimsel ve Teknolojik Arastirma Kurumu (TUBITAK))</t>
  </si>
  <si>
    <t>This study was supported by the Scientific and Technological Research Council of T?rkiye (TUBITAK) , Project Number: 121Y073 and this paper was an extract from the first author?s professional qualifica-tion thesis ? The role of microplastics in the toxicity of surface waters and the evaluation of removal alternatives ? (IUC Institute of Graduate Studies-Department of Environmental Engineering) . Special thanks to Asst. Prof. Melek CUMBUL ALTAY and the IUCEMIK Group for their assistance with the field work.</t>
  </si>
  <si>
    <t>7X1UH</t>
  </si>
  <si>
    <t>WOS:000913988800001</t>
  </si>
  <si>
    <t>How microplastics quantities increase with flood events? An example from Mersin Bay NE Levantine coast of Turkey</t>
  </si>
  <si>
    <t>Floods caused by heavy rain carry significant amounts of pollutants into marine environments. This study evaluates the effect of multiple floods that occurred in the northeastern Mediterranean region in Turkey between December 2016 and January 2017 on the microplastic pollution in the Mersin Bay. Sampling was repeated in four different stations both before and after the flood period, and it was determined that in the four stations, there was an average of 539,189 MPs/km(2) before the flood, and 7,699,716 MPs/km(2) afterwards, representing a 14-fold increase. Fourteen different polymer types were detected in an ATR FT-IR analysis, eight of which were not found in samples collected before the floods. The most common polymer type was identified as polyethylene both pre- and post-flood. The mean particle size, which was 2.37 mm in the pre-flood period, decreased to 1.13 mm in the post-flood period. A hydrodynamic modeling study was implemented to hindcast the current structure and the spatial and temporal distributions of microplastics within the study area. In conclusion, heavy rain and severe floods can dramatically increase the microplastic levels in the sea. (C) 2018 Elsevier Ltd. All rights reserved.</t>
  </si>
  <si>
    <t>10.1016/j.envpol.2018.04.042</t>
  </si>
  <si>
    <t>Gundogdu, S; Cevik, C; Ayat, B; Aydogan, B; Karaca, S</t>
  </si>
  <si>
    <t>Gundogdu, Sedat; Cevik, Cem; Ayat, Berna; Aydogan, Burak; Karaca, Serkan</t>
  </si>
  <si>
    <t>Microplastic; Marine litter; Levantine sea; Mersin bay; Rain flood; ATR FT-IR</t>
  </si>
  <si>
    <t>MARINE-ENVIRONMENT; PLASTIC DEBRIS; PACIFIC-OCEAN; POLLUTION; SEA; ACCUMULATION; DYNAMICS; PELLETS; IMPACT; WATERS</t>
  </si>
  <si>
    <t>[Gundogdu, Sedat; Cevik, Cem] Cukurova Univ, Fac Fisheries, Dept Basic Sci, TR-01330 Adana, Turkey; [Ayat, Berna; Aydogan, Burak] Yildiz Tech Univ, Dept Civil Engn, Istanbul, Turkey; [Karaca, Serkan] Cukurova Univ, Dept Chem, TR-01330 Adana, Turkey</t>
  </si>
  <si>
    <t>Cukurova University; Yildiz Technical University; Cukurova University</t>
  </si>
  <si>
    <t>Ayat, Berna/AAV-6573-2021; Aydoğan, Burak/GZM-1183-2022; KARACA, SERKAN/AAK-8379-2021; Çevik, Cem/E-7979-2018; karaca, serkan/A-1769-2018; Gündoğdu, Sedat/B-4475-2018</t>
  </si>
  <si>
    <t>Ayat, Berna/0000-0002-8460-2839; Aydoğan, Burak/0000-0002-0394-6657; KARACA, SERKAN/0000-0002-2026-1713; karaca, serkan/0000-0002-2026-1713; Gündoğdu, Sedat/0000-0002-4415-2837</t>
  </si>
  <si>
    <t>GI8AS</t>
  </si>
  <si>
    <t>WOS:000434744800034</t>
  </si>
  <si>
    <t>First evaluation of microplastic pollution in the surface waters of the Van Bay from Van Lake, Turkey</t>
  </si>
  <si>
    <t>Increasing pollution of plastics smaller than 5 mm (microplastics [MPs]) in seas and oceans as well as in inland waters around the world has recently been a significant threat to water resources. In this study, MP pollution levels were investigated using a 335 mu m mesh manta trawl in November 2019 in Van Bay. Water samples were collected from 15 stations. MP particles ranged from 641424 to 1426638 per km(2) in surface waters (ranged from 2.35 to 5.09 MPs/m(3) in water columns). The most frequently observed MP type, size, shape and colour classes were fiber (40.5%), &lt;0.1 mm (52.3%), irregular (40.8%) and blue (57.1%), respectively. The highest MP abundance was observed at 14 and 15 stations where lake current were effective. Station 6 were also under serious plastic pollution pressure beacuse it was located close to Akkopru and Kurubas Rivers that pass through the densely populated city center. The chemical structure of all examined MPs showed presence of polyethylene (60.2%), followed by polypropylene (20.4%), polyethylene terephthalate (17.2%) and poly(methyl acrylate) (2.2%). The MPs were also examined using scanning electron microscopy to understand the surface characteristics. In conclusion, our study revealed that the surface waters of Van Bay are highly contaminated with MPs.</t>
  </si>
  <si>
    <t>10.1080/02757540.2021.2022126</t>
  </si>
  <si>
    <t>Atici, AA; Sepil, A; Sen, F; Karagoz, MH</t>
  </si>
  <si>
    <t>Atici, Ataman Altug; Sepil, Ahmet; Sen, Fazil; Karagoz, Mustafa Hamdi</t>
  </si>
  <si>
    <t>Microplastic; FT-IR; surface water; plastic pollution; monitoring; Van Lake</t>
  </si>
  <si>
    <t>MARINE-ENVIRONMENT; PLASTIC DEBRIS; EASTERN ANATOLIA; SEA; ACCUMULATION; SEDIMENTS; CONTAMINATION; REMOTE; WASTE; COAST</t>
  </si>
  <si>
    <t>[Atici, Ataman Altug; Sepil, Ahmet; Sen, Fazil] Van Yuzuncu Yil Univ, Fac Fisheries, Dept Fisheries Basic Sci, TR-65080 Van, Turkey; [Karagoz, Mustafa Hamdi] Van Yuzuncu Yil Univ, Fac Sci, Dept Chem, Van, Turkey</t>
  </si>
  <si>
    <t>Yuzuncu Yil University; Yuzuncu Yil University</t>
  </si>
  <si>
    <t>Atici, AA (corresponding author), Van Yuzuncu Yil Univ, Fac Fisheries, Dept Fisheries Basic Sci, TR-65080 Van, Turkey.</t>
  </si>
  <si>
    <t>Atici, Ataman Altug/0000-0001-8700-8969; Sepil, Ahmet/0000-0002-3201-5181; KARAGOZ, MUSTAFA HAMDI/0000-0002-6830-7725</t>
  </si>
  <si>
    <t>Van Yuzuncu Yil University Scientific Research Projects Coordination Department, Turkey [FBA-2019-8002]</t>
  </si>
  <si>
    <t>Van Yuzuncu Yil University Scientific Research Projects Coordination Department, Turkey</t>
  </si>
  <si>
    <t>This study was financially supported by Van Yuzuncu Yil University Scientific Research Projects Coordination Department, Turkey (No. FBA-2019-8002).</t>
  </si>
  <si>
    <t>JAN 2</t>
  </si>
  <si>
    <t>ZJ9RI</t>
  </si>
  <si>
    <t>WOS:000739162900001</t>
  </si>
  <si>
    <t>Evaluation of Microplastic Presence in Yogurt Production Process</t>
  </si>
  <si>
    <t>Plastics, which have made our lives easier since their invention and have found a wide range of applications because they offer numerous solution alternatives, are currently being investigated as a potential food safety risk. Microplastics (MPs) are defined as plastic waste particles smaller than 5 mm in size. Microplastics are commonly consumed orally, and their presence in various foods has been reported. The purpose of this study was to investigate the presence of MPs in yogurt production steps. The study's samples were drawn from a medium-sized national yogurt producing facility in Istanbul. Initially, samples were subjected to artificial digestion. They were subsequently filtered by a vacuum pump. Suspicious MP in the filters were examined with a binocular microscope and classified based on their size, color, and shape. Finally, SEM and ATR-FTIR techniques were utilized to characterize MPs. According to the results, the filters of twelve process steps/sampling locations contained a total of 171 microplastic particles. MPs were prevalent within the range of 20 to 580 particles L-1. The concentration of MPs in raw milk and yogurt containers were found extremely high. To evaluate the level of risk associated with MP and to reduce MP contamination at plants of varying sizes, interdisciplinary research is required.</t>
  </si>
  <si>
    <t>10.9775/kvfd.2022.27871</t>
  </si>
  <si>
    <t>Zipak, SR; Muratoglu, K; Buyukunal, SK</t>
  </si>
  <si>
    <t>Zipak, Sanae Rbaibi; Muratoglu, Karlo; Buyukunal, Serkan Kemal</t>
  </si>
  <si>
    <t>KAFKAS UNIVERSITESI VETERINER FAKULTESI DERGISI</t>
  </si>
  <si>
    <t>Food pollution; Microparticles; Microplastics; Polymer particles; Yogurt</t>
  </si>
  <si>
    <t>SMALL-SIZED MICROPLASTICS; PARTICLES; CONTAMINATION; TECHNOLOGY; FIBERS</t>
  </si>
  <si>
    <t>[Zipak, Sanae Rbaibi] Istanbul Univ Cerrahpasa, Grad Educ Inst, TR-34320 Istanbul, Turkey; [Muratoglu, Karlo; Buyukunal, Serkan Kemal] Istanbul Univ Cerrahpasa, Fac Vet Med, Food Hyg &amp; Technol Dept, TR-34320 Istanbul, Turkey</t>
  </si>
  <si>
    <t>Muratoglu, K (corresponding author), Istanbul Univ Cerrahpasa, Fac Vet Med, Food Hyg &amp; Technol Dept, TR-34320 Istanbul, Turkey.</t>
  </si>
  <si>
    <t>KAFKAS UNIV, VETERINER FAKULTESI DERGISI</t>
  </si>
  <si>
    <t>KARS</t>
  </si>
  <si>
    <t>KAFKAS UNIV, VETERINER FAKULTESI DERGISI, KARS, 36040, TURKEY</t>
  </si>
  <si>
    <t>1300-6045</t>
  </si>
  <si>
    <t>1309-2251</t>
  </si>
  <si>
    <t>KAFKAS UNIV VET FAK</t>
  </si>
  <si>
    <t>Kafkas Univ. Vet. Fak. Derg.</t>
  </si>
  <si>
    <t>SEP-OCT</t>
  </si>
  <si>
    <t>Veterinary Sciences</t>
  </si>
  <si>
    <t>6G4VA</t>
  </si>
  <si>
    <t>WOS:000884751200012</t>
  </si>
  <si>
    <t>Microlitter Pollution in Sea Water: A Preliminary Study from Sinop Sarikum Coast of the Southern Black Sea</t>
  </si>
  <si>
    <t>In this study, microplastic pollution for the first time is reported in the sea surface and water column in Sinop Sarikum Lagoon coast of the southern Black Sea. Distribution, density and type of microplastics were investigated in the study area where is one of the significant wetlands of the Black Sea. Study was carried out between 2015 and 2016 as seasonally and two types of net for sea surface and water column were used for three different depths. Results showed that microparticle density was 2.667 +/- 2.325 pieces m(-3) for sea surface and 24.475 +/- 26.153 pieces m(-3) for water column. The most common material type is ship paints for sampling areas (Sea surface: 55.45%; Water column: 54.21%) followed by fibres, hard plastic pieces and nylons. Our results show that microplastic is found a large amount in the Black Sea and this pollution type is a growing problem in our day. The presence of this pollution type is an important issue and requires further examination about transportation, origins, types and effects on biota.</t>
  </si>
  <si>
    <t>10.4194/1303-2712-v17_6_37</t>
  </si>
  <si>
    <t>Microplasti; marine litter; Black Sea; pollution; Sarikum Lagoon</t>
  </si>
  <si>
    <t>MARINE-ENVIRONMENT; SURFACE WATERS; PLASTIC DEBRIS; HUMAN HEALTH; MICROPLASTICS; CIRCULATION; ABUNDANCE; ACCUMULATION; INGESTION; LEVEL</t>
  </si>
  <si>
    <t>[Oztekin, Aysah; Bat, Levent] Sinop Univ, Fisheries Fac, Dept Hydrobiol, TR-57000 Sinop, Turkey</t>
  </si>
  <si>
    <t>Bat, L (corresponding author), Sinop Univ, Fisheries Fac, Dept Hydrobiol, TR-57000 Sinop, Turkey.</t>
  </si>
  <si>
    <t>BAT, Levent/N-1915-2019; Bat, Levent/I-3519-2017</t>
  </si>
  <si>
    <t>BAT, Levent/0000-0002-2289-6691; Bat, Levent/0000-0002-2289-6691; OZTEKIN, Aysah/0000-0002-3726-7134</t>
  </si>
  <si>
    <t>TUBITAK [115Y002]</t>
  </si>
  <si>
    <t>TUBITAK(Turkiye Bilimsel ve Teknolojik Arastirma Kurumu (TUBITAK))</t>
  </si>
  <si>
    <t>This study is financially supported by TUBITAK through the research project No: 115Y002. We are grateful to Hasan Can OZTEKIN, Ress. Asist. Murat KERIM and Mehmet BAHTIYAR for their help during sampling.</t>
  </si>
  <si>
    <t>FT2GP</t>
  </si>
  <si>
    <t>WOS:000422959000012</t>
  </si>
  <si>
    <t>Short-term tourism alters abundance, size, and composition of microplastics on sandy beaches</t>
  </si>
  <si>
    <t>Microplastics have become a global threat to sandy beach ecosystems. To efficiently manage this threat, potential sources of microplastics should be deeply understood, which requires direct evidence as this is always a chal-lenging task. Previous studies have reported various sources; however, the topic still needs attention to identify other potential sources of microplastics on sandy shores. Therefore, the abundance, size, color, shape, and polymer type of microplastics on nine sandy shores of the Turkish Coast of the Black Sea were examined before and after the regular tourism season to understand whether short-term tourism might be an important source. A total of 3402 microplastic items from 270 sand samples were obtained and examined. Both the abundance and the average size of the microplastics increased after the tourism season associated with the potential number of visitors and beach cleaning efforts. Further, the color, shape, and polymer type of microplastics varied between sampling times. Beach cleaning seemed to be an efficient way to minimize the adverse effect of short-term tourism influence. This study clearly identifies short-term tourism as an important source of microplastics on sandy shores and beach cleaning as an important tool to minimize microplastic abundance. The results of this study are important insights into current literature by identifying another source of microplastics on sandy shores, which should be useful for the potential management actions to reduce the harm of these global pollutants.</t>
  </si>
  <si>
    <t>10.1016/j.envpol.2022.120561</t>
  </si>
  <si>
    <t>Gul, MR</t>
  </si>
  <si>
    <t>Gul, Mustafa Remzi</t>
  </si>
  <si>
    <t>Abundance; Black sea; Microplastic; Beach; Tourism</t>
  </si>
  <si>
    <t>SMALL PLASTIC DEBRIS; EASTERN BLACK-SEA; MARINE LITTER; POLLUTION; SEDIMENTS; ACCUMULATION; ENVIRONMENT; INGESTION; PENINSULA; COAST</t>
  </si>
  <si>
    <t>[Gul, Mustafa Remzi] Ordu Univ, Fatsa Fac Marine Sci, TR-52400 Ordu, Turkiye</t>
  </si>
  <si>
    <t>Ordu University</t>
  </si>
  <si>
    <t>Gul, MR (corresponding author), Ordu Univ, Fatsa Fac Marine Sci, TR-52400 Ordu, Turkiye.</t>
  </si>
  <si>
    <t>mustafaremzigul@odu.edu.tr</t>
  </si>
  <si>
    <t>Gül, Mustafa/ACM-6100-2022</t>
  </si>
  <si>
    <t>JAN 1</t>
  </si>
  <si>
    <t>NOV 2022</t>
  </si>
  <si>
    <t>6C1QJ</t>
  </si>
  <si>
    <t>WOS:000881796100007</t>
  </si>
  <si>
    <t>TOXICOLOGICAL EFFECT OF POLYETHYLENE MICROSPHERE ON BRACHIONUS PLICATILIS AND DAPHNIA MAGNA</t>
  </si>
  <si>
    <t>Pollution of the aquatic environment by micro plastic could be having a massive impact on marine life. As far as the dimensions of the microplastics decrease, the negative effects are also increasing. In this study, the effects of 10-22 mu m diameter fluorescent polyethylene microplastics (PEMs) on Brachionus plicatilis and Daphnia magna were investigated. The acute toxicity and population growth test were conducted on Brachionus plicatilis. According to the tests LC50 value was calculated as 0.764 mg/mL (0.4-1.458, 95% confidence limits). Statistically significant differences were found in the 90 hour population growth test compared to the control. According to genotoxic evaluation on Daphnia magna with single cell gel electrophoresis (Comet), tail length, tail intensity and tail moment were increased by PEMs compared to the control. In conclusion, PEMs (10-22 mu m) have negative effects on both aquatic organisms Brachionus plicatilis and Daphnia magna.</t>
  </si>
  <si>
    <t>Berber, AA; Yurtsever, M</t>
  </si>
  <si>
    <t>Berber, Ahmet Ali; Yurtsever, Meral</t>
  </si>
  <si>
    <t>FRESENIUS ENVIRONMENTAL BULLETIN</t>
  </si>
  <si>
    <t>Acut toxicity; Brachionus plicatilis; Daphnia magna; microplastic; genotixicity; polyethylene</t>
  </si>
  <si>
    <t>BISPHENOL-A; MICROPLASTIC INGESTION; ZOOPLANKTON; ACTIVATION; POLLUTANTS; TOXICITY; EXPOSURE; DEBRIS; MOUSE</t>
  </si>
  <si>
    <t>[Berber, Ahmet Ali] Canakkale Onsekiz Mart Univ, Vocat Sch Hlth Serv, TR-17100 Canakkale, Turkey; [Yurtsever, Meral] Sakarya Univ, Engn Fac, Dept Environm Engn, TR-54187 Sakarya, Turkey</t>
  </si>
  <si>
    <t>Canakkale Onsekiz Mart University; Sakarya University</t>
  </si>
  <si>
    <t>Berber, AA (corresponding author), Canakkale Onsekiz Mart Univ, Vocat Sch Hlth Serv, TR-17100 Canakkale, Turkey.</t>
  </si>
  <si>
    <t>aberber@comu.edu.tr</t>
  </si>
  <si>
    <t>Scientific and Technological Research Council of Turkey (TUBITAK) [115Y112]</t>
  </si>
  <si>
    <t>This study was funded by The Scientific and Technological Research Council of Turkey (TUBITAK) (Project Number: 115Y112).</t>
  </si>
  <si>
    <t>PARLAR SCIENTIFIC PUBLICATIONS (P S P)</t>
  </si>
  <si>
    <t>FREISING</t>
  </si>
  <si>
    <t>ANGERSTR. 12, 85354 FREISING, GERMANY</t>
  </si>
  <si>
    <t>1018-4619</t>
  </si>
  <si>
    <t>1610-2304</t>
  </si>
  <si>
    <t>FRESEN ENVIRON BULL</t>
  </si>
  <si>
    <t>Fresenius Environ. Bull.</t>
  </si>
  <si>
    <t>GN5HW</t>
  </si>
  <si>
    <t>WOS:000439087100047</t>
  </si>
  <si>
    <t>Fish out, plastic in: Global pattern of plastics in commercial fishmeal</t>
  </si>
  <si>
    <t>Plastic (as both microand macroplastic) is an important environmental contaminant, affecting the food chain and directly entering into marine products, including seafood. However, plastic contamination in wild derived fishmeal, a globally traded commodity, remains unknown. Using a global sampling approach, this study is the first one to assess the plastic content and composition in commercial fishmeal products. The sampling consisted of 26 different fishmeal products, originating from 11 countries on four continents and Antarctica, and representing the vast majority of globally available and traded commercial products. A wide range of plastics content was found, ranging from 0 to 526.7 n kg(-1), and a relatively higher plastics content was identified in fishmeal obtained from China (337.5 +/- 34.5 n kg(-1)) and Morocco (253.3 +/- 43.4 n kg(-1)), whereas no plastics was detected in krill meal obtained from Antarctica. The risk assessment based on feed conversion ratio (FCR) showed that the carnivorous fish species (e.g. eel) with a high percentage of dietary fishmeal, have a substantially higher risk for plastic intake, than other species. In conclusion, these results indicate that fishmeal can be an important pathway for plastics to enter the seafood chain.</t>
  </si>
  <si>
    <t>10.1016/j.aquaculture.2020.736316</t>
  </si>
  <si>
    <t>Gundogdu, S; Eroldogan, OT; Evliyaoglu, E; Turchini, GM; Wu, XG</t>
  </si>
  <si>
    <t>Gundogdu, S.; Eroldogan, O. T.; Evliyaoglu, E.; Turchini, G. M.; Wu, X. G.</t>
  </si>
  <si>
    <t>AQUACULTURE</t>
  </si>
  <si>
    <t>Fish meal; Plastic pollution; Microplastic; Aquaculture; Marine pollution</t>
  </si>
  <si>
    <t>MICROPLASTIC POLLUTION; FUTURE; ACCUMULATION; DEBRIS; RISK; SEA</t>
  </si>
  <si>
    <t>[Gundogdu, S.] Cukurova Univ, Dept Basic Sci, Fac Fisheries, TR-01330 Adana, Turkey; [Eroldogan, O. T.; Evliyaoglu, E.] Cukurova Univ, Dept Aquaculture, Fac Fisheries, TR-01330 Adana, Turkey; [Turchini, G. M.] Deakin Univ, Sch Life &amp; Environm Sci, Geelong, Vic 3220, Australia; [Wu, X. G.] Shanghai Ocean Univ, Minist Educ, Key Lab Explorat &amp; Utilizat Aquat Genet Resources, Shanghai, Peoples R China</t>
  </si>
  <si>
    <t>Cukurova University; Cukurova University; Deakin University; Shanghai Ocean University</t>
  </si>
  <si>
    <t>Gündoğdu, Sedat/0000-0002-4415-2837; Turchini, Giovanni/0000-0003-0694-4283; Evliyaoglu, Ece/0000-0003-3578-7336</t>
  </si>
  <si>
    <t>0044-8486</t>
  </si>
  <si>
    <t>1873-5622</t>
  </si>
  <si>
    <t>Aquaculture</t>
  </si>
  <si>
    <t>MAR 15</t>
  </si>
  <si>
    <t>QC3VT</t>
  </si>
  <si>
    <t>WOS:000614762600010</t>
  </si>
  <si>
    <t>Microplastic pollution profile of Mediterranean mussels (Mytilus galloprovincialis) collected along the Turkish coasts</t>
  </si>
  <si>
    <t>Plastics profoundly threatens ecological balance in marine ecosystems across the globe in the current era of industrialization. Microplastics (MP), in particular, can pose risks reaching humans through the food web via various marine organisms. Among these organisms, since they are consumed as a whole, mussels are vital vectors of MP transfer during human consumption. Hence, here we analyzed MP pollution in Mediterranean mussel (Mytilus galloprovincialis) sampled from 23 different locations all along the Turkish coasts of the Black Sea, Sea of Marmara, and the Aegean Sea. After digestion of the mussels with H2O2, the micro-particles were determined under a stereomicroscope and characterized by confirming with FTIR analyses. 48% of the sampled mussels were found to have MPs. The average MP abundance was 0.69 item/mussel and 0.23 item/g fresh weight (fw) of soft tissue. Morphology was ordered as follows: fragments (67.6%)&gt; fibers (28.4%)&gt; films (4.05%). The dominant size of MPs was detected less than 0.5 mm (26.58%). 12 different polymers have been identified by FTIR and PET (32.9%), PP (28.4%), and PE (19.4%) were found to constitute 80% of the total MPs. The annual average exposure amount for mussel consumers in Turkey was estimated as 1918 MPs item/per year. Even though international organizations such as FAO, JECFA, or EU have not declared permissible limits, our data may inform human health uptake of MP ingestion via mussels. This data might also serve as a reference data-set for further MP monitoring research in Turkish and European Seas. (C) 2020 Elsevier Ltd. All rights reserved.</t>
  </si>
  <si>
    <t>10.1016/j.chemosphere.2020.127570</t>
  </si>
  <si>
    <t>Gedik, K; Eryasar, AR</t>
  </si>
  <si>
    <t>Gedik, Kenan; Eryasar, Ahmet Raif</t>
  </si>
  <si>
    <t>Microplastic; Mediterranean mussels; Black sea; Aegean sea; The Marmara</t>
  </si>
  <si>
    <t>PLASTIC POLLUTION; LEVANTINE COAST; BIVALVES; WATERS; EDULIS; INVERTEBRATES; EXPOSURE; FISH; SEA</t>
  </si>
  <si>
    <t>[Gedik, Kenan; Eryasar, Ahmet Raif] Recep Tayyip Erdogan Univ, Vocat Sch Tech Sci, TR-53100 Rize, Turkey</t>
  </si>
  <si>
    <t>kenan.gedik@erdogan.edu.tr; ahmet.eryasar@erdogan.edu.tr</t>
  </si>
  <si>
    <t>Eryasar, Ahmet Raif/HIZ-6636-2022</t>
  </si>
  <si>
    <t>Gedik, Kenan/0000-0001-8244-6935</t>
  </si>
  <si>
    <t>Research Fund of the Recep Tayyip Erdogan University [FBA-2020-1094, FYL-2019-1033]</t>
  </si>
  <si>
    <t>This work was supported by the Research Fund of the Recep Tayyip Erdogan University (grant numbers: FBA-2020-1094 and FYL-2019-1033). We would like to express our gratitude to Erdinc Turanli for his precious support for mussel sampling. Also, we thank Necla Pehlivan for her language edit.</t>
  </si>
  <si>
    <t>NW7KB</t>
  </si>
  <si>
    <t>WOS:000575197000054</t>
  </si>
  <si>
    <t>The broad-scale microplastic distribution in surface water and sediments along Northeastern Mediterranean shoreline</t>
  </si>
  <si>
    <t>Plastics manufactured to fulfil the unique demands of civilization accumulate in the sea due to their durability. Microplastics (MP) pose a greater threat than macroplastics as they can easily enter the aquatic environment and be hard to detect. MPs potentially impact several components of the marine life and food chain. This study determined MP distribution and characterization by collecting sediment from 47 different stations and surface seawater (SSW) from 29 stations in 2019 along the Turkish coast of the Eastern Mediterranean Sea. Potential MP particles were stained with Nile-Red and verified using ATR-FTIR. While MP abundance in the sediment ranged between 118 +/- 97 and 1688 +/- 746 MPs kg-1, it varied between 0.18 +/- 0.10 MPs m-3 and 2.21 +/- 1.75 MPs m-3 in SSW. The MP abundance showed significant spatial variation (p &lt; 0.05). The polymer type in the samples was determined by ATR-FTIR. In both water and sediments, polyethylene was the most common MP type (&gt;59 %), while fragment was the most common MP form (&gt;57.6 %), and &gt;65 % of overall MPs were &lt;1500 mu m. The spatial pattern of MPs in the sediments and SSW was affected by the population, the magnitude of the tourism sector, the rim current, and circulation. The monitoring data presented here can provide a remarkable projection of the current trend and form a basis for future MP pollution prevention.</t>
  </si>
  <si>
    <t>10.1016/j.scitotenv.2022.157038</t>
  </si>
  <si>
    <t>Gedik, K; Eryasar, AR; Ozturk, RC; Mutlu, E; Karaoglu, K; Sahin, A; Ozvarol, Y</t>
  </si>
  <si>
    <t>Gedik, Kenan; Eryasar, Ahmet Raif; Ozturk, Rafet Cagri; Mutlu, Erhan; Karaoglu, Kaan; Sahin, Ahmet; Ozvarol, Yasar</t>
  </si>
  <si>
    <t>Microplastic; Sediment; Surface seawater; The Mediterranean Sea</t>
  </si>
  <si>
    <t>LEVANTINE COAST; PLASTIC DEBRIS; YELLOW SEA; BOHAI SEA; ABUNDANCE; POLLUTION; INVERTEBRATES; LITTER; AREA; NW</t>
  </si>
  <si>
    <t>[Gedik, Kenan; Eryasar, Ahmet Raif; Karaoglu, Kaan] Recep Tayyip Erdogan Univ, Vocat Sch Tech Sci, Rize, Turkey; [Ozturk, Rafet Cagri; Sahin, Ahmet] Karadeniz Tech Univ, Fac Marine Sci, Trabzon, Turkey; [Mutlu, Erhan] Akdeniz Univ, Fisheries Fac, Antalya, Turkey; [Ozvarol, Yasar] Akdeniz Univ, Kemer Fac Maritime, Antalya, Turkey; [Gedik, Kenan] Recep Tayyip Erdogan Univ, Vocat Sch Tech Sci, TR-53100 Rize, Turkey</t>
  </si>
  <si>
    <t>Recep Tayyip Erdogan University; Karadeniz Technical University; Akdeniz University; Akdeniz University; Recep Tayyip Erdogan University</t>
  </si>
  <si>
    <t>ŞAHİN, AHMET/AAS-4702-2020; Eryasar, Ahmet Raif/HIZ-6636-2022; özvarol, yaşar/B-9147-2016</t>
  </si>
  <si>
    <t>ŞAHİN, AHMET/0000-0002-2378-7921; özvarol, yaşar/0000-0002-8308-1189</t>
  </si>
  <si>
    <t>T?rkiye's Scientific and Technological Research Council [TUBITAK: 117Y133]</t>
  </si>
  <si>
    <t>T?rkiye's Scientific and Technological Research Council</t>
  </si>
  <si>
    <t>Acknowledgments The sampling was a part of an acoustic survey supported by T?rkiye's Scientific and Technological Research Council (TUBITAK: 117Y133) . The crew of the R/V ?Akdeniz Su? is gratefully acknowledged by the authors. Also, thanks to the anonymous reviewers for providing expert feedback and valuable input.</t>
  </si>
  <si>
    <t>JUL 2022</t>
  </si>
  <si>
    <t>3A5RO</t>
  </si>
  <si>
    <t>WOS:000827317200012</t>
  </si>
  <si>
    <t>Spatio-Temporal Distribution and Characterization of Microplastic Pollution in The Three Main Freshwater Systems (Aksu and Kopru Streams, Manavgat River) And Fishing Grounds Located in Their Vicinities in The Antalya Bay</t>
  </si>
  <si>
    <t>Microplastic pollution is one of the pressing environmental issues over the world that pose risks to aquatic ecosystems and humans. Significant amount of anthropogenic plastic litter known to be transported with freshwater systems to marine environment. The aim of the present study is to reveal the abundance and spatio-temporal distribution of MPs pollution in the three main freshwater systems (Aksu and Kopru Streams, Manavgat River), located through the costal line of the Antalya Bay. 106 water samples obtained from these three freshwater systems and fishing grounds located in the vicinities of these systems were evaluated. A total of 2444 MPs with a mean size of 1777.16 +/- 1168.81 mu m detected within these samples. A homogeneous MPs pollution was observed in the area. Four colours (Black-27.3%, White-19.4%, Red 18.7% and Blue-16.2%) found to composed more than 80% of the detected MPs. Majority of MPs detected within the framework of the study were fiber (57.1%) and fragment (32.6%). Most common polymer type was Polyproplene-(PP) with 50%. Results obtained from this study have the potential to form the basis for future studies that take into account the terrestrial use and the prevailing physical factors in the region in the study area.</t>
  </si>
  <si>
    <t>10.4194/TRJFAS20507</t>
  </si>
  <si>
    <t>Guven, O</t>
  </si>
  <si>
    <t>Guven, Olgac</t>
  </si>
  <si>
    <t>Microplastic pollution; Freshwater systems; Characterization; Abundance</t>
  </si>
  <si>
    <t>ACCUMULATION</t>
  </si>
  <si>
    <t>[Guven, Olgac] Akdeniz Univ, Fac Fisheries, TR-07058 Antalya, Turkey</t>
  </si>
  <si>
    <t>Akdeniz University</t>
  </si>
  <si>
    <t>Guven, O (corresponding author), Akdeniz Univ, Fac Fisheries, TR-07058 Antalya, Turkey.</t>
  </si>
  <si>
    <t>GÜVEN, Olgaç/D-2399-2009</t>
  </si>
  <si>
    <t>GÜVEN, Olgaç/0000-0002-0920-673X</t>
  </si>
  <si>
    <t>(Akdeniz University Scientific Research Projects Coordination Unit) [FBA-2019-4449, 7852565-140.03.03-E.1351584]</t>
  </si>
  <si>
    <t>(Akdeniz University Scientific Research Projects Coordination Unit)(Akdeniz University)</t>
  </si>
  <si>
    <t>This research was supported by (Akdeniz University Scientific Research Projects Coordination Unit) under grant (FBA-2019-4449) (Title: Assessment of Microplastic Pollution Status and Its Impacts on Biota in Coastal Habitats and Commercial Fishing Grounds of Gulf of Antalya) and carried out under the T.C. Ministry of Agriculture and Forest legal research permit: (Number: 7852565-140.03.03-E.1351584) .</t>
  </si>
  <si>
    <t>TRJFAS20507</t>
  </si>
  <si>
    <t>WOS:000763773900004</t>
  </si>
  <si>
    <t>Microplastic contamination and characteristics spatially vary in the southern Black Sea beach sediment and sea surface water</t>
  </si>
  <si>
    <t>In this study, the abundance, and characteristics of the microplastics on the southern coast of the Black Sea were assessed. More than 70% of the detected microplastics were smaller than 2.5 mm and mostly consisted of fibers and fragments. The average microplastic abundance in the beach sediment and seawater were 64.06 +/- 8.95 particles/kg and 18.68 +/- 3.01 particles/m3, respectively. The western coast of the study area (Marmara region) was the most polluted area, and a spatially significant difference was determined in terms of abundance. The composition in the beach sediment (particles/kg) was dominated by styrene acrylonitrile copolymer (SAC) (40.53%), polyethylene terephthalate (PET) (38.75%), and polyethylene (PE) (6.91%), whereas the seawater (particles/m3) was dominated by PET (57.26%), PE (13.52%), and polypropylene PP (11.24%). The results of our study can be a baseline for environmental modeling studies and experimental studies on the marine organisms inhabiting the Black Sea.</t>
  </si>
  <si>
    <t>10.1016/j.marpolbul.2021.113228</t>
  </si>
  <si>
    <t>Terzi, Y; Gedik, K; Eryasar, AR; Ozturk, RC; Sahin, A; Yilmaz, F</t>
  </si>
  <si>
    <t>Terzi, Yahya; Gedik, Kenan; Eryasar, Ahmet Raif; Ozturk, Rafet Cagri; Sahin, Ahmet; Yilmaz, Fatih</t>
  </si>
  <si>
    <t>Coastal pollution; Persistent organic pollutants; Marine environment; Synthetic polymer; FTIR</t>
  </si>
  <si>
    <t>PLASTIC DEBRIS; MARINE LITTER; COASTAL WATERS; MYTILUS-EDULIS; FISH LARVAE; ENVIRONMENT; INGESTION; ABUNDANCE; POLLUTION; ANCHOVY</t>
  </si>
  <si>
    <t>[Terzi, Yahya; Ozturk, Rafet Cagri; Sahin, Ahmet] Karadeniz Tech Univ, Fac Marine Sci, Dept Fisheries Technol Engn, TR-61530 Trabzon, Turkey; [Gedik, Kenan; Eryasar, Ahmet Raif; Yilmaz, Fatih] Recep Tayyip Erdo Univ, Vocat Sch Tech Sci, TR-53100 Rize, Turkey</t>
  </si>
  <si>
    <t>Karadeniz Technical University; Recep Tayyip Erdogan University</t>
  </si>
  <si>
    <t>Terzi, Y (corresponding author), Karadeniz Tech Univ, Fac Marine Sci, Dept Fisheries Technol Engn, TR-61530 Trabzon, Turkey.</t>
  </si>
  <si>
    <t>yterzi@ktu.edu.tr</t>
  </si>
  <si>
    <t>Terzi, Yahya/X-5115-2019; ŞAHİN, AHMET/AAS-4702-2020; Terzi, Yahya/CAC-0027-2022; Eryasar, Ahmet Raif/HIZ-6636-2022</t>
  </si>
  <si>
    <t>Terzi, Yahya/0000-0002-6367-5000; ŞAHİN, AHMET/0000-0002-2378-7921; Terzi, Yahya/0000-0002-6367-5000; OZTURK, Rafet Cagri/0000-0003-1785-4056; Gedik, Kenan/0000-0001-8244-6935</t>
  </si>
  <si>
    <t>Scientific Research Projects Coordination Unit of Karadeniz Technical University [FHD-2021-9622]</t>
  </si>
  <si>
    <t>Scientific Research Projects Coordination Unit of Karadeniz Technical University(Karadeniz Technical University)</t>
  </si>
  <si>
    <t>Experimental procedures of this study were funded by the Scientific Research Projects Coordination Unit of Karadeniz Technical University (Project No. FHD-2021-9622).</t>
  </si>
  <si>
    <t>XY9DG</t>
  </si>
  <si>
    <t>WOS:000737263600014</t>
  </si>
  <si>
    <t>Microplastic pollution of drinking water in a metropolis</t>
  </si>
  <si>
    <t>This study was conducted to identify microplastics (MPs) in drinking water from various sources in Is. tanbul that are known to pose potential health risks. A total of 100 drinking water samples were analyzed. Samples were filtered with a glass filter (phi: 1.0 mu m). After filtration, microscopy was used, followed by SEM-EDS and ATR-FTIR identification to characterize MPs. Two shapes (fibers and fragments) and eight polymer types of MPs (ethylene propylene, neoprene, polyethylene, polyethylene terephthalate, polypropylene, polyvinyl chloride, polytetrafluoroethylene, and vinyl chloride vinyl acetate copolymer) with sizes of 12-4,892 mu m (548+ 777 mu m) were detected. These MP abundances ranged from 10 to 390 MP L-1 (134+ 93 MP L-1). In the identification of MPs detected in filters by FTIR spectroscopy, bisphenol A, which is used in the production of various plastics and described as an important public health problem, was detected in 9.74% of MPs. Within the scope of the Sustainable Development Goals (SDGs), UNEP has a specific objective of ensuring access to safe, affordable drinking water (SDG 6). With a clear statement, it should be emphasized that MPs are a significant barrier to the provision of safe drinking water and a comprehensive plan for overcoming this barrier should be developed.</t>
  </si>
  <si>
    <t>10.2166/wh.2023.265</t>
  </si>
  <si>
    <t>Buyukunal, SK; Koluman, A; Muratoglu, K</t>
  </si>
  <si>
    <t>Buyukunal, Serkan Kemal; Koluman, Ahmet; Muratoglu, Karlo</t>
  </si>
  <si>
    <t>JOURNAL OF WATER AND HEALTH</t>
  </si>
  <si>
    <t>ATR-FTIR; filtration; microplastic; SEM-EDS; water</t>
  </si>
  <si>
    <t>SURFACE WATERS; PLASTIC DEBRIS; BOTTLED WATER; HUMAN HEALTH; PARTICLES; ACCUMULATION; EXPOSURE; CONTAMINANTS; SEDIMENTS; LAKE</t>
  </si>
  <si>
    <t>[Buyukunal, Serkan Kemal; Muratoglu, Karlo] Istanbul Univ Cerrahpasa, Fac Vet Med, Dept Food Hyg &amp; Technol, Istanbul, Turkiye; [Koluman, Ahmet] Pamukkale Univ, Fac Technol, Dept Biomed Engn, Denizli, Turkiye</t>
  </si>
  <si>
    <t>Istanbul University - Cerrahpasa; Pamukkale University</t>
  </si>
  <si>
    <t>Muratoglu, K (corresponding author), Istanbul Univ Cerrahpasa, Fac Vet Med, Dept Food Hyg &amp; Technol, Istanbul, Turkiye.</t>
  </si>
  <si>
    <t>Büyükünal, Serkan Kemal/AAH-6899-2019; MURATOGLU, Karlo/E-4200-2012; KOLUMAN, AHMET/A-4898-2018</t>
  </si>
  <si>
    <t>Büyükünal, Serkan Kemal/0000-0003-3676-2181; MURATOGLU, Karlo/0000-0001-8705-6813; KOLUMAN, AHMET/0000-0001-5308-8884</t>
  </si>
  <si>
    <t>1477-8920</t>
  </si>
  <si>
    <t>1996-7829</t>
  </si>
  <si>
    <t>J WATER HEALTH</t>
  </si>
  <si>
    <t>J. Water Health</t>
  </si>
  <si>
    <t>2023 MAY 29</t>
  </si>
  <si>
    <t>Environmental Sciences; Public, Environmental &amp; Occupational Health; Microbiology; Water Resources</t>
  </si>
  <si>
    <t>Environmental Sciences &amp; Ecology; Public, Environmental &amp; Occupational Health; Microbiology; Water Resources</t>
  </si>
  <si>
    <t>H5QV0</t>
  </si>
  <si>
    <t>WOS:000996515900001</t>
  </si>
  <si>
    <t>Microplastics in bivalves in the southern Black Sea</t>
  </si>
  <si>
    <t>Presence of microplastics in five bivalve species in the southern Black Sea was investigated for the first time. Bivalve species Donax trunculus (Linnaeus 1758), Chamelea gallina (Linnaeus 1758), Abra alba (W. Wood 1802), Anadara inaequivalvis (Bruguiere 1789) and Pitar rudis (Poli 1795) were collected from River Yesilirmak and River Melet mouths in June 2020. Microplastics were found in all bivalve species, except for Abra alba. A total of 92 microplastics were found in 89 individuals analysed. The average number of microplastics ranged from 1.69 to 4 mp.ind(-1). Fibres were the most common type of microplastic type in each bivalve species, followed by fragments and films. No microbead was found. The most common size class was 1-2 mm (34 %). A total of 9 different colours of microplastics were found with black and blue being the prevalent colours. Our results suggest that microplastic pollution in bivalves collected from southern Black Sea is relatively high, suggesting trophic transfer in the food web and risk for human by contaminated diets.</t>
  </si>
  <si>
    <t>Senturk, Y; Esensoy, FB; Oztekin, A; Aytan, U</t>
  </si>
  <si>
    <t>Senturk, Yasemen; Esensoy, F. Basak; Oztekin, Aysah; Aytan, Ulgen</t>
  </si>
  <si>
    <t>Bivalve; Mollusca; microplastic; ingestion; southern Black Sea</t>
  </si>
  <si>
    <t>[Senturk, Yasemen; Esensoy, F. Basak; Aytan, Ulgen] Recep Tayyip Erdogan Univ, Fac Fisheries, Dept Marine Biol, Rize, Turkey; [Oztekin, Aysah] Sinop Univ, Fac Fisheries, Sinop, Turkey</t>
  </si>
  <si>
    <t>Aytan, U (corresponding author), Recep Tayyip Erdogan Univ, Fac Fisheries, Dept Marine Biol, Rize, Turkey.</t>
  </si>
  <si>
    <t>Aytan, Ulgen/G-5253-2016</t>
  </si>
  <si>
    <t>Aytan, Ulgen/0000-0002-6530-3083</t>
  </si>
  <si>
    <t>TUBITAK [118Y125]</t>
  </si>
  <si>
    <t>This study was funded by TUBITAK (project number 118Y125). We thank to Dr. Selda Bascinar for species identification and Erhan Ozturk for his help during sampling.</t>
  </si>
  <si>
    <t>WOS:000637180200025</t>
  </si>
  <si>
    <t>Microplastic consumption and physiological response in Acartia clausi and Centropages typicus: Possible roles of feeding mechanisms</t>
  </si>
  <si>
    <t>Multi-day experiments were carried out with two Marmara Sea calanoid copepod species: Acartia clausi and Centropages typicus, to assess the possible role of the type of feeding on the consumption of microplastics and its influence on the rate of energy metabolism of these species. In a mixture of microplastic beads (6 mu m diameter) and algae Rhodomonas salina (5-10 mu m size range) with equal concentrations of about 5000 cells/beads mL(-1) the ambush feeder A. clausi consumed almost 5 times less microplastic 858.8 +/- 294.1 beads ind(-1) day(-1) than the cruising feeder C. typicus and halved its consumption of microplastics alone, while C. typicus, on the contrary, increased its consumption rate of pure microplastics to 20237.4 +/- 7020.41 beads ind(-1) day(-1). Both types of reaction to microplastics lead to a decrease in the respiratory rates of the copepods. During the 5 days of maintenance on a solely microplastic diet, the respiration rates of A. clausi and C. typicus decreased 2.2 and 3.4 times, respectively, due to a decrease in the energy spent on motor activity, whilst maintaining basal metabolic energy. It has been shown that in A. clausi, consuming microplastics, a decrease in respiration rate occurs in the same way as in individuals starving in filtered water. A more rapid respiration rate decrease in Centropages typicus consuming microplastics may be due to the greater energy expenditure on microplastic beads capture and egestion via fecal pellets. Acartia clausi seems to exhibit a better strategy in dealing with the adverse consequences of microplastics consumption in comparison to Centropages typicus. (C) 2021 Elsevier B.V. All rights reserved.</t>
  </si>
  <si>
    <t>10.1016/j.rsma.2021.101650</t>
  </si>
  <si>
    <t>Svetlichny, L; Isinibilir, M; Mykitchak, T; Eryalcin, KM; Turkeri, EE; Yuksel, E; Kideys, AE</t>
  </si>
  <si>
    <t>Svetlichny, Leonid; Isinibilir, Melek; Mykitchak, Taras; Eryalcin, Kamil Mert; Turkeri, Ezgi E.; Yuksel, Esin; Kideys, Ahmet Erkan</t>
  </si>
  <si>
    <t>REGIONAL STUDIES IN MARINE SCIENCE</t>
  </si>
  <si>
    <t>Microplastic consumption; Feeding mechanisms; Zooplankton; Acartia clausi; Centropages typicus</t>
  </si>
  <si>
    <t>CALANUS-HELGOLANDICUS; COPEPOD; INGESTION; ZOOPLANKTON; COPRORHEXY; COPROPHAGY; RATES; SEA; SELECTIVITY; METABOLISM</t>
  </si>
  <si>
    <t>[Svetlichny, Leonid] NAS Ukraine, Dept Invertebrate Fauna &amp; Systemat, II Schmalhausen Inst Zool, Kiev, Ukraine; [Isinibilir, Melek; Turkeri, Ezgi E.; Yuksel, Esin] Istanbul Univ, Fac Aquat Sci, Dept Marine &amp; Freshwater Resources Management, Istanbul, Turkey; [Mykitchak, Taras] NAS Ukraine, Inst Carpathian Ecol, Fac Biol, Lvov, Ukraine; [Eryalcin, Kamil Mert] Istanbul Univ, Fac Aquat Sci, Dept Aquaculture &amp; Fish Dis, Istanbul, Turkey; [Kideys, Ahmet Erkan] Middle East Tech Univ, Inst Marine Sci, Mersin, Turkey</t>
  </si>
  <si>
    <t>National Academy of Sciences Ukraine; Schmalhausen Institute of Zoology of NASU; Istanbul University; National Academy of Sciences Ukraine; Institute of Cell Biology of NASU; Institute of Ecology of Carpathians; Istanbul University; Middle East Technical University</t>
  </si>
  <si>
    <t>Eryalcin, KM (corresponding author), Istanbul Univ, Fac Aquat Sci, Dept Aquaculture &amp; Fish Dis, Istanbul, Turkey.</t>
  </si>
  <si>
    <t>eryalcin@istanbul.edu.tr</t>
  </si>
  <si>
    <t>KIDEYS, Ahmet E/Q-1824-2015; ERYALÇIN, Kamil Mert/F-8593-2013; KIDEYS, Ahmet Erkan/HZK-4698-2023; Svetlichny, Leonid/T-9225-2017</t>
  </si>
  <si>
    <t>ERYALÇIN, Kamil Mert/0000-0002-8336-957X; Svetlichny, Leonid/0000-0001-9224-6371; KIDEYS, AHMET ERKAN/0000-0002-1113-2434</t>
  </si>
  <si>
    <t>Research Fund of Istanbul University [25919, 35212, 31404]; Scientific and Technological Research Council of Turkey [115Y627]; NASU project [0114U002041]</t>
  </si>
  <si>
    <t>Research Fund of Istanbul University(Istanbul University); Scientific and Technological Research Council of Turkey(Turkiye Bilimsel ve Teknolojik Arastirma Kurumu (TUBITAK)); NASU project</t>
  </si>
  <si>
    <t>This work was supported by the Research Fund of Istanbul University [grant number 25919, 35212, and 31404], the Scientific and Technological Research Council of Turkey [grant number 115Y627] and was partly funded by the NASU project (No. 0114U002041).</t>
  </si>
  <si>
    <t>2352-4855</t>
  </si>
  <si>
    <t>REG STUD MAR SCI</t>
  </si>
  <si>
    <t>Reg. Stud. Mar. Sci.</t>
  </si>
  <si>
    <t>Ecology; Marine &amp; Freshwater Biology</t>
  </si>
  <si>
    <t>RC5AK</t>
  </si>
  <si>
    <t>WOS:000632813800008</t>
  </si>
  <si>
    <t>Particle size-dependent biomolecular footprints of interactive microplastics in maize</t>
  </si>
  <si>
    <t>The world is dealing with the mismanaged plastic waste found even in the Arctic. The crisis is being tried to solve with the plastivor bugs or bio-plastics, and the marine pollution profiles become priority however, putative phytotoxicity on terrestrial farming have not received significant attention. Hence, morpho-physiological and molecular response in maize seedlings exposed to the most prevalent microplastic (MP) types (PP, PET, PVC, PS, PE) differing in their particle size (75-150 mm and 150 -212 mm) and combinations (PP thorn PET thorn PVC thorn PS thorn PE mix) was analyzed here for a predictive holistic model. While POD1 regulating the oxidative defense showed a slight down-regulation, HSP1 abundance quantified in the 75-150 mmMP lead a significant up-regulation particularly for PET (2.2 fold) PVC (3.3 fold), and the MP mix (6.4 fold). Biochemical imbalance detected at lower sized (75-150 mm) MPs in particular at the MP mix, involved the cell membrane instability, lesser photosynthetic pigments and a conjectural restraint in the photosynthetic capacity along with the accumulated endogenous H2O2 proved that the bigger the particle size the better the cells restore the damage under MP-caused xenobiotic stress. The determination of the impacts of MP pollution in in-vitro agricultural models might guide the development of policies in this direction and help ensure agricultural security by predicting the possible pollution damage. (C) 2021 Elsevier Ltd. All rights reserved.</t>
  </si>
  <si>
    <t>10.1016/j.envpol.2021.116772</t>
  </si>
  <si>
    <t>Pehlivan, N; Gedik, K</t>
  </si>
  <si>
    <t>Pehlivan, Necla; Gedik, Kenan</t>
  </si>
  <si>
    <t>Microplastic polymers; Particle size; Defense genes; Photosynthesis; Germination</t>
  </si>
  <si>
    <t>N-BUTYL PHTHALATE; PLASTICS; SOIL; NANOPLASTICS; GERMINATION; ENVIRONMENT; PHYSIOLOGY; TOXICITY</t>
  </si>
  <si>
    <t>[Pehlivan, Necla] Recep Tayyip Erdogan Univ, Biol Dept, Rize, Turkey; [Gedik, Kenan] Recep Tayyip Erdogan Univ, Vocat Sch Tech Sci, Rize, Turkey</t>
  </si>
  <si>
    <t>Pehlivan, N (corresponding author), Recep Tayyip Erdogan Univ, Biol Dept, Rize, Turkey.</t>
  </si>
  <si>
    <t>necla.pehlivan@erdogan.edu.tr</t>
  </si>
  <si>
    <t>PEHLIVAN, NECLA/AAU-4505-2020; Pehlivan, Necla/HHS-4023-2022</t>
  </si>
  <si>
    <t>PEHLIVAN, NECLA/0000-0002-2045-8380; Pehlivan, Necla/0000-0002-2045-8380; Gedik, Kenan/0000-0001-8244-6935</t>
  </si>
  <si>
    <t>Scientific and Technical Research Council of Turkey (TUBITAK) [120O926]</t>
  </si>
  <si>
    <t>Scientific and Technical Research Council of Turkey (TUBITAK)(Turkiye Bilimsel ve Teknolojik Arastirma Kurumu (TUBITAK))</t>
  </si>
  <si>
    <t>Designated art abstract and schematic representation in Fig. 2 were created by professional science icons of biorender.com. The work was funded by the Scientific and Technical Research Council of Turkey (TUBITAK Grant No: 120O926).</t>
  </si>
  <si>
    <t>RJ6VA</t>
  </si>
  <si>
    <t>WOS:000637737100029</t>
  </si>
  <si>
    <t>The microplastic pattern in Turkish lakes: sediment and bivalve samples from Cildir Lake, Almus Dam Lake, and Kartalkaya Dam Lake</t>
  </si>
  <si>
    <t>Plastic has become one of the most prominent contaminants in recent decades, posing a major environmental threat with critical implications for seafood safety. Thus, we investigated the abundance and characterization of the microplastics (MPs) in the sediment and bivalves from cildir Lake, Almus Dam Lake, and Kartalkaya Dam Lake in Turkey. The abundance of the MPs ranged from 19-156 MP kg(-1) in the sediments, while 0.75-10.0 MP individual(-1) (indiv.(-1)) in Anodonta sp., 0.16-1.00 MP indiv.(-1) in Dreissena polymorpha, 0.50-2.50 indiv.(-1) in the Unio damescensis was detected. ATR-FTIR was used to identify four distinct polymer types, with polyethylene terephthalate being the most prevalent. Fiber predominated in bivalve samples, whereas fragments in sediment and MPs were often &lt; 500 mu m in length. Our data could serve as a foundation for a frequent monitoring routine in Turkish lakes since bivalves are one of the key vectors of MP contamination in humans.</t>
  </si>
  <si>
    <t>10.55730/1300-0179.3093</t>
  </si>
  <si>
    <t>Gedik, K; Atasaral, S</t>
  </si>
  <si>
    <t>Gedik, Kenan; Atasaral, Sebnem</t>
  </si>
  <si>
    <t>TURKISH JOURNAL OF ZOOLOGY</t>
  </si>
  <si>
    <t>Microplastic; mussel; freshwater; Unio; Dreissena; Anodonta</t>
  </si>
  <si>
    <t>MUSSEL MYTILUS-EDULIS; FRESH-WATER; HEAVY-METALS; POLLUTION; IDENTIFICATION; INDICATOR; UK</t>
  </si>
  <si>
    <t>[Gedik, Kenan] Recep Tayyip Erdogan Univ, Vocat Sch Tech Sci, Rize, Turkey; [Atasaral, Sebnem] Karadeniz Tech Univ, Fac Marine Sci, Trabzon, Turkey</t>
  </si>
  <si>
    <t>Recep Tayyip Erdogan University; Karadeniz Technical University</t>
  </si>
  <si>
    <t>Gedik, K (corresponding author), Recep Tayyip Erdogan Univ, Vocat Sch Tech Sci, Rize, Turkey.</t>
  </si>
  <si>
    <t>Atasaral, Sebnem/AGP-2684-2022</t>
  </si>
  <si>
    <t>Atasaral, Sebnem/0000-0001-9382-7469</t>
  </si>
  <si>
    <t>Scientific and Technological Research Council Turkey</t>
  </si>
  <si>
    <t>ATATURK BULVARI NO 221, KAVAKLIDERE, TR-06100 ANKARA, TURKEY</t>
  </si>
  <si>
    <t>1300-0179</t>
  </si>
  <si>
    <t>1303-6114</t>
  </si>
  <si>
    <t>TURK J ZOOL</t>
  </si>
  <si>
    <t>Turk. J. Zool.</t>
  </si>
  <si>
    <t>Zoology</t>
  </si>
  <si>
    <t>4U2HE</t>
  </si>
  <si>
    <t>WOS:000858620600001</t>
  </si>
  <si>
    <t>Microplastic pollution along the southeastern Black Sea</t>
  </si>
  <si>
    <t>Within the scope of TUBITAK 118Y125 project, microplastic pollution was investigated at the coastal areas of the mouth of several rivers in the southeastern Black Sea, namely the rivers Karasu, Kizilirmak, Yesilirmak, Melet, Aksu, Degirmendere and Firtina. Here we present results of the first cruise that occurred during July 2019. At each station, samples were collected from surface waters with manta trawl, from several depths with Niskin bottles and from sediments with box core. Microplastics were characterized using optical microscopy, FT-IR and SEM/EDS in terms of size, morphology and chemistry. Surface microplastic concentration ranged between 1.783 and 40.03 par.m(-3) (0.178x10(6)-4x10(6) par. km(-2)). The primary shapes were fragments (49%), followed by films (31.3%), fibres (17.7%), foams (1.9%) and beads (0.1%). Twelve different colours of microplastics were detected in surface waters with the most common colour being white (34.3%), followed by transparent (28.9%) and blue (11.8%). The average size was calculated as 1.540 +/- 1.065 mm, 1.984 +/- 1.022 mm, 2.076 +/- 1.205 mm, 2.302 +/- 1.225 mm and 0.670 +/- 0.245 mm for fragments, films, fibres, foams and beads, respectively. Microplastic concentrations at subsurface depths, reached up to 20 par.l(-1). An increasing MP concentration with depth was observed. Microplastic concentrations in sediment varied from 74.1 to 1778.8 par.m(-2) (0.004-0.192 par.ml(-1)). The primary shapes in the sediment were fibres (66.4%), followed by fragments (19.9%), films (13.3%) and beads (0.4%), no foam was found. Ten different colours of microplastics were found in the sediment with blue being the most common colour (40.7%) followed by red (23.5%) and transparent (15.9%). The average size was calculated as 1.253 +/- 0.954 mm, 1.035 +/- 0.429 mm, 1.358 +/- 0.892 mm, and 0.079 mm for fibres, fragments, films, and beads, respectively. The FTIR analysis confirmed the presence of eight polymers in surface waters and tree polymers in the sediment samples. Polyethylene and polypropylene were the most common polymers both in sea surface and in sediment. Our results confirm that microplastics were present in all matrices (surface, water column and sediment) of the Black Sea. Project results will provide data on distribution, sources and effects of microplastics required to implement the Marine Strategy Framework Directive.</t>
  </si>
  <si>
    <t>Aytan, U; Senturk, Y; Esensoy, FB; Oztekin, A; Agirbas, E; Valente, A</t>
  </si>
  <si>
    <t>Aytan, Ulgen; Senturk, Yasemen; Esensoy, F. Basak; Oztekin, Aysah; Agirbas, Ertugrul; Valente, Andre</t>
  </si>
  <si>
    <t>Microplastic; marine litter; pollution; MSFD; Black Sea</t>
  </si>
  <si>
    <t>[Aytan, Ulgen; Senturk, Yasemen; Esensoy, F. Basak; Agirbas, Ertugrul] Recep Tayyip Erdogan Univ, Fac Fisheries, Dept Marine Biol, Rize, Turkey; [Oztekin, Aysah] Sinop Univ, Fac Fisheries, Sinop, Turkey; [Valente, Andre] Univ Lisbon, Fac Ciencias, MARE Marine &amp; Environm Sci Ctr, P-1749016 Lisbon, Portugal</t>
  </si>
  <si>
    <t>Recep Tayyip Erdogan University; Sinop University; Universidade de Lisboa</t>
  </si>
  <si>
    <t>TUBITAK (The Scientific and Technological Research Council of Turkey) [118Y125]</t>
  </si>
  <si>
    <t>This work was funded by TUBITAK (The Scientific and Technological Research Council of Turkey) (Project No: 118Y125). We thank to Dr. Samet Kalkan for his help during sampling, Dr. Kaan KARAOGLU for his help in FT-IR analysis and Dr. Murat Sirin for his help in SEM analysis. We also thank to captain and crews of the R/V KARADENIZ ARASTIRMA for their assistance during the cruise.</t>
  </si>
  <si>
    <t>WOS:000637180200018</t>
  </si>
  <si>
    <t>Microplastic pollution in two remote rivers of Turkiye</t>
  </si>
  <si>
    <t>Microplastic pollution in aquatic ecosystems presents an emerging environmental threat that can have adverse effects on ecology, endanger aquatic species, and result in economic damage. Despite the numerous studies reporting the presence of microplastics in marine environments, research into their presence in freshwater systems or inland waters remains limited. This study aimed to assess the level of microplastic pollution transported by the Munzur and Pulumur Rivers and some small rivers that flow into the Uzuncayir dam lake, which is the confluence of the Munzur and Pulumur Rivers in Turkiye. Samples were collected from 23 stations, with the concentration of microplastics ranging from 0.01 MP/m(3) at P-4 station to 28.21 MP/m(3) at P-10, a station located near a city. Microplastics comprise four types: fiber, film, fragment, and glitter. The average size of microplastics was 1.46 +/- 0.05 mm, with the average size of fibers, films, fragments, and glitter-type microplastics being 1.58 +/- 0.07 mm, 1.23 +/- 0.10 mm, 1.21 +/- 0.11 mm, and 0.78 +/- 0.16 mm, respectively. The most frequent polymers were polyethylene (31.8%), polystyrene (21.1%), and polypropylene (10.5%). Despite being considered remote and less populated rivers compared to other river systems in Turkiye, all sampling sites showed varying concentrations of microplastics.</t>
  </si>
  <si>
    <t>10.1007/s10661-023-11426-z</t>
  </si>
  <si>
    <t>Gundogdu, S; Kutlu, B; Ozcan, T; Buyukdeveci, F; Blettler, MCM</t>
  </si>
  <si>
    <t>Gundogdu, Sedat; Kutlu, Banu; Ozcan, Tahir; Buyukdeveci, Ferhat; Blettler, Martin C. M.</t>
  </si>
  <si>
    <t>Microplastic pollution; River pollution; Remote river; Munzur River; Pulumur River</t>
  </si>
  <si>
    <t>FRESH-WATER; SURFACE WATERS; ENVIRONMENTS; SEDIMENTS</t>
  </si>
  <si>
    <t>[Gundogdu, Sedat] Cukurova Univ, Fac Fisheries, Dept Basic Sci, TR-01330 Adana, Turkiye; [Kutlu, Banu] Munzur Univ, Fac Fisheries, Dept Basic Sci, TR-62000 Tunceli, Turkiye; [Ozcan, Tahir] Iskenderun Tech Univ, Fac Marine Sci &amp; Technol, TR-31200 Iskenderun, Hatay, Turkiye; [Buyukdeveci, Ferhat] Cukurova Univ, Fac Fisheries, TR-01330 Adana, Turkiye; [Buyukdeveci, Ferhat] Adana Directorate Prov Food Agr &amp; Livestock, TR-01330 Adana, Turkiye; [Blettler, Martin C. M.] Natl Inst Limnol INALI, Santa Fe, Argentina; [Blettler, Martin C. M.] CONICET UNL, Santa Fe, Argentina</t>
  </si>
  <si>
    <t>Cukurova University; Munzur University; Iskenderun Technical University; Cukurova University; Consejo Nacional de Investigaciones Cientificas y Tecnicas (CONICET); National University of the Littoral</t>
  </si>
  <si>
    <t>I1IX2</t>
  </si>
  <si>
    <t>WOS:001000394800001</t>
  </si>
  <si>
    <t>Microplastic ingestion and egestion by copepods in the Black Sea</t>
  </si>
  <si>
    <t>Ingestion and egestion of microplastics by copepods in the Black Sea was assessed for the first time. Composition and concentration of microplastics in the water column was also evaluated. Samples were collected from three stations (river mouth, coastal and open water) in the Southeastern Black Sea over the course of one year. Microplastic concentration in the water column ranged between 0.12 and 7.62 mp.m(-3) (mean 2.04 1.05 mp.m(-3)) with significantly higher concentrations in the river mouth. The most common types of microplastics were fibres, followed by films and fragments. A total of 11 colours of microplastics were found, being blue the most common colour. Analysis of 1126 C. euxinus and 1065 A. clausi, resulted in 26 and 9 microplastics being detected, respectively. This resulted in a microplastic ingestion of 0.024 +/- 0.020 mp. Calanus(-1) and 0.008 +/- 0.006 mp. Acartia(-1). Analysis of 351 faecal pellets, resulted 4 microplastics being found. The average size of ingested microplastics was greater in C. euxinus (0.100 mm +/- 0.153 mm) than in A. clausi (0.062 mm +/- 0.056 mm). Size of ingested microplastics was in the size range of natural preys of these copepods. Fragments were the most common type of ingested microplastics, followed by films and fibres. The colour of ingested particles was black, blue and red. Our results show that the copepods and the pelagic environment of the Black Sea are contaminated by microplastics. Critical functions of zooplankton in this degraded ecosystem are under risk and zooplankton are likely to act as a vector for the transfer of microplastics and associated toxic chemicals to upper trophic levels including humans in the Black Sea. (C) 2021 Elsevier B.V. All rights reserved.</t>
  </si>
  <si>
    <t>10.1016/j.scitotenv.2021.150921</t>
  </si>
  <si>
    <t>Aytan, U; Esensoy, FB; Senturk, Y</t>
  </si>
  <si>
    <t>Aytan, Ulgen; Esensoy, F. Basak; Senturk, Yasemen</t>
  </si>
  <si>
    <t>Microplastic; Zooplankton; Ingestion; Food web; Black Sea</t>
  </si>
  <si>
    <t>MARINE LITTER; 1ST OBSERVATIONS; WATER COLUMN; ZOOPLANKTON; ACCUMULATION; ORGANISMS; ABUNDANCE; SEAWATER; DEBRIS; ALTER</t>
  </si>
  <si>
    <t>[Aytan, Ulgen; Esensoy, F. Basak; Senturk, Yasemen] Recep Tayyip Erdogan Univ, Dept Marine Biol, TR-53100 Rize, Turkey</t>
  </si>
  <si>
    <t>Aytan, U (corresponding author), Recep Tayyip Erdogan Univ, Dept Marine Biol, TR-53100 Rize, Turkey.</t>
  </si>
  <si>
    <t>TUBITAK (The Scientific and Technological Research Council of Turkey) [117Y207, 118Y125]</t>
  </si>
  <si>
    <t>This work was funded by TUBITAK (The Scientific and Technological Research Council of Turkey) Project No: 117Y207 and partly funded by TUBITAK Project No:118Y125. We acknowledge all the researchers for their help during sampling, Dr. Kaan KARAOGLU for his help in FT-IR analyses and captain and crews of the R/V DENAR, R/V SURAT I, and R/V KARADENIZ ARASTIRMA for their assistance during the cruises.</t>
  </si>
  <si>
    <t>YD2SN</t>
  </si>
  <si>
    <t>WOS:000740226600013</t>
  </si>
  <si>
    <t>Fouling assemblage of benthic plastic debris collected from Mersin Bay, NE Levantine coast of Turkey</t>
  </si>
  <si>
    <t>The Mediterranean is an ecosystem that faces more and more microplastic pollution every day. This causes the whole of the Mediterranean to face the negative effects of plastic pollution. This study examines the state of plastic debris and fouling organisms found on it in one of the areas most affected by plastic pollution, Mersin Bay. As a result, a total of 3.88 kg plastic (mean = 0,97 kg; n = 120; 2670 item/km(2); 86,3 kg/km(2)) was collected and based on the ATR-FTIR analysis, it was determined that this total contained 9 types of plastics. 17 different fouling species belonging to 6 phylum (Annelida, Arthropoda, Bryozoa, Chordata, Cnidaria, Mollusca) 7 class and 11 order were discovered on plastics. Spirobranchus triqueter, Hydroides sp. and Neopycnodonte cochlear were the most abundant species. In the end, the example of Mersin Bay shows that plastic debris as a substrate can contain a very high diversity of life just like natural substrates.</t>
  </si>
  <si>
    <t>10.1016/j.marpolbul.2017.07.023</t>
  </si>
  <si>
    <t>Gundogdu, S; Cevik, C; Karaca, S</t>
  </si>
  <si>
    <t>Gundogdu, Sedat; Cevik, Cem; Karaca, Serkan</t>
  </si>
  <si>
    <t>Marine plastic debris; Biofouling; ATR-FTIR; Marine pollution; Mersin Bay</t>
  </si>
  <si>
    <t>WESTERN MEDITERRANEAN SEA; MARINE-ENVIRONMENT; TRAWL CATCHES; OCEAN; LIFE; HITCHHIKING; COMMUNITIES; INVASIONS; CHECKLIST; LITTER</t>
  </si>
  <si>
    <t>[Gundogdu, Sedat; Cevik, Cem] Cukurova Univ, Fac Fisheries, Dept Basic Sci, TR-01330 Adana, Turkey; [Karaca, Serkan] Cukurova Univ, Dept Chem, TR-01330 Adana, Turkey</t>
  </si>
  <si>
    <t>Cukurova University; Cukurova University</t>
  </si>
  <si>
    <t>sgundogdu@cu.edu.tr; cem95@cu.edu.tr; skaraca@cu.edu.tr</t>
  </si>
  <si>
    <t>karaca, serkan/A-1769-2018; KARACA, SERKAN/AAK-8379-2021; Gündoğdu, Sedat/B-4475-2018; Çevik, Cem/E-7979-2018</t>
  </si>
  <si>
    <t>karaca, serkan/0000-0002-2026-1713; KARACA, SERKAN/0000-0002-2026-1713; Gündoğdu, Sedat/0000-0002-4415-2837; CEVIK, CEM/0000-0003-2760-3496</t>
  </si>
  <si>
    <t>FM9CI</t>
  </si>
  <si>
    <t>WOS:000415391200030</t>
  </si>
  <si>
    <t>The microplastic pattern of wild-caught Mediterranean mussels from the Marmara Sea</t>
  </si>
  <si>
    <t>The Sea of Marmara suffers from pollutants that come from municipal/industrial discharges and the Black Sea. Microplastic (MP)s, a rising environmental concern with consequences for seafood safety, are one of these contaminants. Thus, the abundance and feature of MPs in wild populations of the Mediterranean mussel (Mytilus galloprovincialis) from 20 sites along the sea of Marmara coastlines were analyzed herein. In total, 812 MPs were detected in 412 mussels. The MPs ranged from 0.30 to 7.53 MP individual(-1) and 0.11 to 4.58 MP g(-1) fresh weight. The most common shape of the MPs detected was fiber (81.16%), the majority of which were smaller than 1 mm. Polymer types were verified by FTIR, and 14 different polymers have been identified; the dominant was polyethylene terephthalate (PET, 66.38%). When one is served by a mussel meal weekly, the risk statistics project that the exposure will be 252 MPs per portion. Yet, the risk associated with the MP-contaminated mussel consumption is insignificant according to hypothetical calculations using a chemical additive (bisphenol A).</t>
  </si>
  <si>
    <t>10.1016/j.marpolbul.2022.113331</t>
  </si>
  <si>
    <t>Gedik, K; Eryasar, AR; Gozler, AM</t>
  </si>
  <si>
    <t>Gedik, Kenan; Eryasar, Ahmet Raif; Gozler, Ahmet Mutlu</t>
  </si>
  <si>
    <t>Microplastic; Abundance; Characteristics; Monitoring; Mytilus galloprovincialis</t>
  </si>
  <si>
    <t>MARINE-ENVIRONMENT; SURFACE WATERS; POLLUTION; FIBERS; FISH</t>
  </si>
  <si>
    <t>[Gedik, Kenan; Eryasar, Ahmet Raif] Recep Tayyip Erdogan Univ, Vocat Sch Tech Sci, Rize, Turkey; [Gozler, Ahmet Mutlu] Recep Tayyip Erdogan Univ, Fac Fisheries, Rize, Turkey</t>
  </si>
  <si>
    <t>Eryasar, Ahmet Raif/HIZ-6636-2022; GÖZLER, Ahmet Mutlu/GQQ-1924-2022</t>
  </si>
  <si>
    <t>YL0UE</t>
  </si>
  <si>
    <t>WOS:000745615600002</t>
  </si>
  <si>
    <t>Presence of microplastics in zooplankton and planktivorous fish in the southeastern Black Sea</t>
  </si>
  <si>
    <t>Present work provides preliminary results that microplastics are present in critical components of the Black Sea pelagic food web, namely in copepods and planktivorous fish European anchovy. A total of 6 and 8 microplastics were detected after the examination of 2136 Acartia (Acartiura) clausi and 2123 Calanus euxinus, resulting in microplastics ingestion of 0.002 par/Acartia (one MP for every 356 Acartia) and 0.004 par/Calanus (one MP for every 265 Calanus), respectively. The microplastic size was in the same range of natural preys of these copepods. Fragments were the most common type of ingested microplastics, followed by film. Colour of ingested particles were black, blue and red. Regarding MP presence in planktivorous fish, we examined the digestive tract content of 230 individuals of European anchovy. A total of 57 microplastics were found in 47 fishes, representing a presence of MP in 20 % of fish analysed. Fibres were the most common microplastics, followed by films and fragments. The findings show presence of microplastic in both copepods and European anchovy, calling for urgent investigations on effects of microplastics on biota and human health.</t>
  </si>
  <si>
    <t>Aytan, U; Esensoy, FB; Senturk, Y; Agirbas, E; Valente, A</t>
  </si>
  <si>
    <t>Aytan, Ulgen; Esensoy, F. Basak; Senturk, Yasemen; Agirbas, Ertugrul; Valente, Andre</t>
  </si>
  <si>
    <t>Microplastic; zooplankton; European anchovy; ingestion; Black Sea</t>
  </si>
  <si>
    <t>ANTHROPOGENIC PARTICLES; INGESTION; DEBRIS</t>
  </si>
  <si>
    <t>[Aytan, Ulgen; Esensoy, F. Basak; Senturk, Yasemen; Agirbas, Ertugrul] Recep Tayyip Erdogan Univ, Fac Fisheries, Dept Marine Biol, Rize, Turkey; [Valente, Andre] Univ Lisbon, Fac Ciencias, 2MARE Marine &amp; Environm Sci Ctr, P-1749016 Lisbon, Portugal</t>
  </si>
  <si>
    <t>TUBITAK (The Scientific and Technological Research Council of Turkey) [117Y207]</t>
  </si>
  <si>
    <t>This study was funded by TUBITAK (The Scientific and Technological Research Council of Turkey) (Project No: 117Y207). We thank to captain and crew of the R/V SURAT for their assistance during the cruise.</t>
  </si>
  <si>
    <t>WOS:000637180200026</t>
  </si>
  <si>
    <t>Microplastics in a dam lake in Turkey: type, mesh size effect, and bacterial biofilm communities</t>
  </si>
  <si>
    <t>The evaluation of microplastic (MP) pollution has been drawing attention for the last decades. MP pollution has been studied widely in marine environments, but limited data exists for freshwater ecosystems on potential source and transport of MPs. The type, shape, plastic components, and the color of the MPs were investigated using various-mesh-sizes (300 and 100 mu m) nets in four sampling stations of Sureyyabey Dam Lake in Turkey. The growth of bacterial isolates on the MPs surface and surrounding water was also investigated. The type of the MPs and the interaction between the mesh size and the type of the MPs showed significant differences (p &lt; 0.05). Fibers were found to be the most abundant particle type constituting 45% and 80% of the total MPs found in 330-mu m and 100-mu m mesh sizes, respectively. In total the observed MP abundance in the dam lake was 5.25 particles m(-3), and 4.09 particles m(-3)was observed for 100-mu m and 330-mu m mesh sizes, respectively. The color of the identified microplastics showed variations among microplastic types; however, the dominant color was transparent in each net. The main plastic components of the MPs are polyethylene terephthalate, polyvinyl chloride, polystyrene, polyethylene, and polypropylene. The microbial community mainly consists of potentially pathogenic strains such asEscherichia coli,Enterococcus faecalis, andAcinetobacter baumanii complex.The current study could contribute valuable background information both for MP pollution and for biofilm composition in a dam. However, the surface of the MPs and biofilm formation should be investigated urgently to understand the vector potential of MPs.</t>
  </si>
  <si>
    <t>10.1007/s11356-020-10424-9</t>
  </si>
  <si>
    <t>Tavsanoglu, UN; Kankilic, GB; Akca, G; Cirak, T; Erdogan, S</t>
  </si>
  <si>
    <t>Tavsanoglu, Ulku Nihan; Basaran Kankilic, Gokben; Akca, Gulcin; Cirak, Tamer; Erdogan, Seyda</t>
  </si>
  <si>
    <t>Microplastics; Freshwater; Contamination; Biofilm; Sureyyabey Dam Lake; Mesh size; FT-IR</t>
  </si>
  <si>
    <t>PLASTIC DEBRIS; FRESH-WATER; MARINE-ENVIRONMENT; SURFACE WATERS; POLLUTION; TRANSPORT; SEDIMENTS; RIVER; FISH; PARTICLES</t>
  </si>
  <si>
    <t>[Tavsanoglu, Ulku Nihan] Cankiri Karatekin Univ, Environm Hlth Program, Eldivan Vocat Sch Hlth Serv, Cankiri, Turkey; [Basaran Kankilic, Gokben] Kirikkale Univ, Fac Art &amp; Sci, Biol Dept, Kirikkale, Turkey; [Akca, Gulcin] Gazi Univ, Dept Med Microbiol, Fac Dent, Ankara, Turkey; [Cirak, Tamer] Aksaray Univ, Aksaray Tech Sci Vocat Sch, Alternat Energy Sources Technol Program, Aksaray, Turkey; [Erdogan, Seyda] Yozgat Bozok Univ, Fac Art &amp; Sci, Biol Dept, Yozgat, Turkey</t>
  </si>
  <si>
    <t>Cankiri Karatekin University; Kirikkale University; Gazi University; Aksaray University; Bozok University</t>
  </si>
  <si>
    <t>Tavsanoglu, UN (corresponding author), Cankiri Karatekin Univ, Environm Hlth Program, Eldivan Vocat Sch Hlth Serv, Cankiri, Turkey.</t>
  </si>
  <si>
    <t>unyazgan@gmail.com</t>
  </si>
  <si>
    <t>KANKILIÇ, Gökben BAŞARAN/AAI-6605-2021; Akca, Gülçin/CAA-2023-2022; ÇIRAK, Tamer/J-1643-2013</t>
  </si>
  <si>
    <t>ÇIRAK, Tamer/0000-0003-0431-9919; Tavsanoglu, Ulku Nihan/0000-0001-8462-415X; BASARAN KANKILIC, Gokben/0000-0001-7551-4899; Erdogan, Seyda/0000-0001-7729-7664</t>
  </si>
  <si>
    <t>Yozgat Bozok University BAP unit [6602a-FEN/18-226]</t>
  </si>
  <si>
    <t>Yozgat Bozok University BAP unit</t>
  </si>
  <si>
    <t>This study is partly funded by Yozgat Bozok University BAP unit (Project no: 6602a-FEN/18-226).</t>
  </si>
  <si>
    <t>AUG 2020</t>
  </si>
  <si>
    <t>PP6OD</t>
  </si>
  <si>
    <t>WOS:000559954300011</t>
  </si>
  <si>
    <t>Beach litter contamination of the Turkish middle Black Sea coasts: Spatial and temporal variation, composition, and possible sources</t>
  </si>
  <si>
    <t>Marine litter is one of the biggest environmental problems nowadays. Sinop, is located in the heart of Turkiye's Black Sea coast, has a small population, and is a popular fishing and tourist destination. In this study, marine litter amount, composition, and possible sources were investigated, and seasonal comparisons were made be-tween in Sinop beaches. Marine litter amount was found as 0.29-7.67 items.m(-2) and 3.46-49.09 g.m(-2) and beaches were classified as moderate to extremely dirty. Plastics were the highest ratio (88.14-98.46 %) and plastic pieces 2.5 &gt; &lt; 50 cm  were the major litter type. The major possible litter source was improper waste disposal (33.36 %) and litter items originated from mainly land-based sources (74.13 %). The result of this study shows that there is a significant litter problem on the coasts. The solution of this problem can be possible to take rational measures against marine litter pollution with education and management policies.</t>
  </si>
  <si>
    <t>10.1016/j.marpolbul.2022.114248</t>
  </si>
  <si>
    <t>Bat, L; Oztekin, A; Ozturk, DK; Gurbuzer, P; Ozsandikci, U; Eyuboglu, B; Oztekin, HC</t>
  </si>
  <si>
    <t>Bat, Levent; Oztekin, Aysah; Ozturk, Dilara Kaya; Gurbuzer, Pinar; Ozsandikci, Ugur; Eyuboglu, Bora; Oztekin, Hasan Can</t>
  </si>
  <si>
    <t>Beach litter; Plastic; Black Sea; Litter sources</t>
  </si>
  <si>
    <t>MARINE LITTER; PLASTIC DEBRIS; MICROPLASTIC INGESTION; ANTHROPOGENIC LITTER; POLLUTION; ABUNDANCE; EUROPE; RIVERS</t>
  </si>
  <si>
    <t>[Bat, Levent; Oztekin, Aysah; Gurbuzer, Pinar; Ozsandikci, Ugur] Sinop Univ, Fisheries Fac, Dept Hydrobiol, Sinop, Turkey; [Ozturk, Dilara Kaya] Sinop Univ, Fisheries Fac, Dept Aquaculture, Sinop, Turkey; [Eyuboglu, Bora] Sinop Univ, Higher Vocat Sch, Sch Fisheries &amp; Aquaculture, Sinop, Turkey; [Oztekin, Hasan Can] Sinop Municipal, Sinop, Turkey</t>
  </si>
  <si>
    <t>Sinop University; Sinop University; Sinop University</t>
  </si>
  <si>
    <t>Bat, L (corresponding author), Sinop Univ, Fisheries Fac, Dept Hydrobiol, Sinop, Turkey.</t>
  </si>
  <si>
    <t>KAYA ÖZTÜRK, DİLARA/A-5348-2018; Gürbüzer, Pinar/R-3508-2019</t>
  </si>
  <si>
    <t>KAYA ÖZTÜRK, DİLARA/0000-0003-2505-231X; Gürbüzer, Pinar/0000-0001-6298-8905</t>
  </si>
  <si>
    <t>Sinop University with Scientific Research Project [S?F-1901-18-48]</t>
  </si>
  <si>
    <t>Sinop University with Scientific Research Project(Sinop University)</t>
  </si>
  <si>
    <t>Funding The research supported by Sinop University with Scientific Research Project; project number S?F-1901-18-48.</t>
  </si>
  <si>
    <t>8Z4OZ</t>
  </si>
  <si>
    <t>WOS:000933360900002</t>
  </si>
  <si>
    <t>Isolation of Thermophilic Bacteria and Investigation of Their Microplastic Degradation Ability Using Polyethylene Polymers</t>
  </si>
  <si>
    <t>Microplastics (MPs) pose potential public health challenges because of their widespread occurrences in all environmental compartments. While most studies have focused on the occurrence fate of microplastics in wastewater treatment systems, the biodegradation of microplastics in wastewater is generally little understood. Therefore, we used two Gram-positive and thermophilic bacteria, called strain ST3 and ST6, which were identified by morphological, biochemical, physiological, and molecular analyses, to assess the growth and biodegradation potential of two different sized (50 and 150 m) polyethylene particles. The degradation was monitored based on structural and surface morphological changes. According to 16S rRNA analyses, ST3 and ST6 were identified as Anoxybacillus flavithermus ST3 and Anoxybacillus sp. ST6, respectively. The occurrence of cracks, holes, and dimensional changes was detected by scanning electron microscopy. Moreover, critical characteristic absorption band formation and modifications were determined by Fourier transform infrared spectroscopy. In addition to these, it was found that Anoxybacillus flavithermus ST3 and Anoxybacillus sp. ST6 produced high level of alpha-Amylase. These results showed that thermophilic bacteria are capable of the biodegradation of microplastics and production of alpha-Amylase.</t>
  </si>
  <si>
    <t>10.3390/microorganisms10122441</t>
  </si>
  <si>
    <t>Ozdemir, S; Akarsu, C; Acer, O; Fouillaud, M; Dufosse, L; Dizge, N</t>
  </si>
  <si>
    <t>Ozdemir, Sadin; Akarsu, Ceyhun; Acer, Omer; Fouillaud, Mireille; Dufosse, Laurent; Dizge, Nadir</t>
  </si>
  <si>
    <t>MICROORGANISMS</t>
  </si>
  <si>
    <t>biodegradation; fourier transform infrared spectroscopy; microplastic degradation; polyethylene; thermophilic bacteria</t>
  </si>
  <si>
    <t>LOW-DENSITY POLYETHYLENE; WATER TREATMENT-PLANT; MARINE-ENVIRONMENT; ENZYMATIC DEGRADATION; BIODEGRADATION; FATE; POLYPROPYLENE; PSEUDOMONAS; PLASTICS; IDENTIFICATION</t>
  </si>
  <si>
    <t>[Ozdemir, Sadin] Mersin Univ, Tech Sci Vocat Sch, Food Proc Programme, TR-33343 Mersin, Turkey; [Akarsu, Ceyhun] Istanbul Univ Cerrahpasa, Dept Environm Engn, TR-34320 Istanbul, Turkey; [Acer, Omer] Siirt Univ, Med Fac, Dept Med Microbiol, TR-56100 Siirt, Turkey; [Fouillaud, Mireille; Dufosse, Laurent] Univ La Reunion, ESIROI Agroalimentaire, CHEMBIOPRO, Chem &amp; Biotechnol Nat Prod, 15 Ave Rene Cassin,CS 92003, F-97744 St Denis 9, France; [Dizge, Nadir] Mersin Univ, Dept Environm Engn, TR-33343 Mersin, Turkey</t>
  </si>
  <si>
    <t>Mersin University; Istanbul University - Cerrahpasa; Siirt University; University of La Reunion; Mersin University</t>
  </si>
  <si>
    <t>Dufosse, L (corresponding author), Univ La Reunion, ESIROI Agroalimentaire, CHEMBIOPRO, Chem &amp; Biotechnol Nat Prod, 15 Ave Rene Cassin,CS 92003, F-97744 St Denis 9, France.;Dizge, N (corresponding author), Mersin Univ, Dept Environm Engn, TR-33343 Mersin, Turkey.</t>
  </si>
  <si>
    <t>laurent.dufosse@univ-reunion.fr; nadirdizge@gmail.com</t>
  </si>
  <si>
    <t>Dufossé, Laurent/F-5658-2011</t>
  </si>
  <si>
    <t>Dufossé, Laurent/0000-0001-7392-355X</t>
  </si>
  <si>
    <t>2076-2607</t>
  </si>
  <si>
    <t>Microorganisms</t>
  </si>
  <si>
    <t>Microbiology</t>
  </si>
  <si>
    <t>7H0PO</t>
  </si>
  <si>
    <t>WOS:000902914200001</t>
  </si>
  <si>
    <t>Microplastics in Tissues (Brain, Gill, Muscle and Gastrointestinal) of Mullus barbatus and Alosa immaculata</t>
  </si>
  <si>
    <t>The researches on MPs in commercial marine fish are very limited although in marine environments microplastic (MPs) pollution is a global problem. In this study, the presence, composition, and characterization of MPs in different tissues (brain, gill, muscle, and gastrointestinal tract) of commercial fish species [red mullet (Mullus barbatus) and pontic shad (Alosa immaculata Bennett 1835)] from the Black Sea were investigated. M. barbatus (demersal) and A. immaculata (pelagic) fish were preferred in the selection of fish species in order to represent demersal and pelagic environments. After dissected the fish, MPs were obtained from the tissues by extraction using the flotation method; then the MPs were counted and categorized according to shape, size, and color. The composition of the MPs was determined via ATR-FTIR spectroscopy. In terms of microplastic abundance in fish tissues, the gastrointestinal tract (40.0%) ranked first in both fish species, while the lowest MPs density was determined in brain tissues (7.0%). After the gastrointestinal tissue, gills were identified as the second tissue with the highest MPs density. Regardless of fish species, MPs characterization was mainly fibrous (51.0%), black colored (49.0%), and 50-200 mu m in size (55.0%). Among the nine different polymers determined, polychloroprene (18.8%) and polyamide (15.0%) were found most frequently. This research provides data for tissue-based assessment of MPs in fish. The obtained data showed that MPs (one of the anthropogenic pollutants) are quite high in all tissues regardless of fish species. Moreover, it has emerged that these two fish species are suitable for monitoring microplastics in the study area.</t>
  </si>
  <si>
    <t>10.1007/s00244-021-00885-5</t>
  </si>
  <si>
    <t>Atamanalp, M; Kokturk, M; Ucar, A; Duyar, HA; Ozdemir, S; Parlak, V; Esenbuga, N; Alak, G</t>
  </si>
  <si>
    <t>Atamanalp, Muhammed; Kokturk, Mine; Ucar, Arzu; Duyar, Hunkar Avni; Ozdemir, Suleyman; Parlak, Veysel; Esenbuga, Nurinisa; Alak, Gonca</t>
  </si>
  <si>
    <t>ARCHIVES OF ENVIRONMENTAL CONTAMINATION AND TOXICOLOGY</t>
  </si>
  <si>
    <t>Pelagic fish; Demersal fish; Microplastic; Black sea; Turkey; ATR-FTIR</t>
  </si>
  <si>
    <t>COMMERCIAL FISH; INGESTION; ATLANTIC</t>
  </si>
  <si>
    <t>[Atamanalp, Muhammed; Ucar, Arzu; Parlak, Veysel] Ataturk Univ, Fac Fisheries, Dept Aquaculture, TR-25030 Erzurum, Turkey; [Kokturk, Mine] Igdir Univ, Coll Appl Sci, Dept Organ Agr Management, TR-76000 Igdir, Turkey; [Duyar, Hunkar Avni] Sinop Univ, Fac Fisheries, Dept Seafood Proc Technol, TR-57000 Sinop, Turkey; [Ozdemir, Suleyman] Sinop Univ, Fac Fisheries, Dept Fisheries, TR-57000 Sinop, Turkey; [Esenbuga, Nurinisa] Ataturk Univ, Fac Agr, Dept Anim Sci, TR-25030 Erzurum, Turkey; [Alak, Gonca] Ataturk Univ, Fac Fisheries, Dept Seafood Proc Technol, TR-25030 Erzurum, Turkey</t>
  </si>
  <si>
    <t>Ataturk University; Igdir University; Sinop University; Sinop University; Ataturk University; Ataturk University</t>
  </si>
  <si>
    <t>Atamanalp, M (corresponding author), Ataturk Univ, Fac Fisheries, Dept Aquaculture, TR-25030 Erzurum, Turkey.;Alak, G (corresponding author), Ataturk Univ, Fac Fisheries, Dept Seafood Proc Technol, TR-25030 Erzurum, Turkey.</t>
  </si>
  <si>
    <t>mataman@atauni.edu.tr; galak@atauni.edu.tr</t>
  </si>
  <si>
    <t>Atamanalp, Muhammed/AAG-2950-2020; UÇAR, Arzu/AAA-2325-2022; ALAK, Gonca/HZK-0144-2023; Ozdemir, Suleyman/A-6761-2018</t>
  </si>
  <si>
    <t>UÇAR, Arzu/0000-0001-5675-9401; Ozdemir, Suleyman/0000-0002-2247-0703</t>
  </si>
  <si>
    <t>0090-4341</t>
  </si>
  <si>
    <t>1432-0703</t>
  </si>
  <si>
    <t>ARCH ENVIRON CON TOX</t>
  </si>
  <si>
    <t>Arch. Environ. Contam. Toxicol.</t>
  </si>
  <si>
    <t>SEP 2021</t>
  </si>
  <si>
    <t>UX9CU</t>
  </si>
  <si>
    <t>WOS:000698056300002</t>
  </si>
  <si>
    <t>Ingestion of microplastics by commercial fish species from the southern Black Sea coast</t>
  </si>
  <si>
    <t>Microplastic (MP) contamination is a serious threat to today's marine life. Therefore, this study investigates MP ingestion in three commercial fish species (European anchovy Engraulis encrasicolus, whiting Merlangius merlangus, and red mullet Mullus barbatus) from the Turkish coast of the Black Sea. Ninety-five MPs were detected in all examined fish (371). Fiber forms were detected in the majority of cases based on the MP morphology. Polyethylene and polypropylene were the most dominant polymer type. The mean of ingested MPs was found as 0.15 +/- 0.04, 0.28 +/- 0.06, 0.40 +/- 0.07 in anchovy, whiting and red mullet, respectively. The size of the MPs ranged from 118 mu m and 4854 mu m. The MP waste was detected in each species, and the highest MP amount was determined in the red mullet, which was significantly higher than European anchovy. The present study's data might be a baseline on the ecological risk assessment of MPs in the fish and future experimental studies on the fish species living in the Black Sea.</t>
  </si>
  <si>
    <t>10.1016/j.marpolbul.2022.113535</t>
  </si>
  <si>
    <t>Eryasar, AR; Gedik, K; Mutlu, T</t>
  </si>
  <si>
    <t>Eryasar, Ahmet Raif; Gedik, Kenan; Mutlu, Tanju</t>
  </si>
  <si>
    <t>Black Sea; Commercial fish; Microplastic; Characterization; Spatial distribution</t>
  </si>
  <si>
    <t>MARINE LITTER; DEMERSAL FISH; GASTROINTESTINAL-TRACT; DIGESTIVE-TRACTS; WATERS; ORGANISMS; SEDIMENTS; MUSSELS; AREAS; GULF</t>
  </si>
  <si>
    <t>[Eryasar, Ahmet Raif; Gedik, Kenan; Mutlu, Tanju] Recep Tayyip Erdogan Univ, Vocat Sch Tech Sci, Rize, Turkey</t>
  </si>
  <si>
    <t>Eryasar, AR; Gedik, K (corresponding author), Recep Tayyip Erdogan Univ, Vocat Sch Tech Sci, Rize, Turkey.</t>
  </si>
  <si>
    <t>ahmet.eryasar@erdogan.edu.tr; kenan.gedik@erdogan.edu.tr; tanju.mutlu@erdogan.edu.tr</t>
  </si>
  <si>
    <t>Eryasar, Ahmet Raif/HIZ-6636-2022; Mutlu, Tanju/AAA-9256-2022</t>
  </si>
  <si>
    <t>0G1SI</t>
  </si>
  <si>
    <t>WOS:000777832000006</t>
  </si>
  <si>
    <t>Microplastics formation based on degradation characteristics of beached plastic bags</t>
  </si>
  <si>
    <t>Environmental pollution from plastic bags is a significant issue in the global environment. Plastic bags can be transferred by the wind and ocean currents everywhere in the three dimensions and be fragmented into small particles, termed film-shaped microplastics. The purpose of this study is to provide insights on the degradation of beached plastic bags. Monitoring and sampling were performed to determine plastic bag fragmentation and the possible mechanisms. On selected samples, various spectroscopic techniques and microscopy were used. Before the imposition of the green plastic bag fee in Greece, field monitoring suggested that the majority of the coastal plastic bags were fragmented whereas after the green fee, less fragmented bags were observed. Evidence of three degradation mechanisms were observed in this study. For oxodegradable plastic bags, degradation takes place for the starch additives and the polymer part stays in the environment as microplastic particles. For thin light density polyethylene plastic bags, mechanical fragmentation takes place in the environment creating microplastics before significant chemical alterations in functional groups were observed and once chemical alteration (oxidation) is observed, fragmentation (of H-C or C-C bonds) is also taking place. Thus, regulating thin plastic bags usage removes problems related to plastic bags but also to film-shaped microplastics.</t>
  </si>
  <si>
    <t>10.1016/j.marpolbul.2021.112470</t>
  </si>
  <si>
    <t>Tziourrou, P; Kordella, S; Ardali, Y; Papatheodorou, G; Karapanagioti, HK</t>
  </si>
  <si>
    <t>Tziourrou, P.; Kordella, S.; Ardali, Y.; Papatheodorou, G.; Karapanagioti, H. K.</t>
  </si>
  <si>
    <t>Plastic bags; Microplastics; Marine pollution; Coastal zone; Fragmentation</t>
  </si>
  <si>
    <t>EXTRACELLULAR POLYSACCHARIDES; POLYMERIC MATERIALS; PRODUCTION PELLETS; SURFACE-PROPERTIES; TRACE-METALS; SEA-FLOOR; POLYETHYLENE; BIODEGRADATION; ABUNDANCE; SEDIMENTS</t>
  </si>
  <si>
    <t>[Tziourrou, P.; Karapanagioti, H. K.] Univ Patras, Dept Chem, Patras, Greece; [Kordella, S.; Papatheodorou, G.] Univ Patras, Dept Geol, Lab Marine Geol &amp; Phys Oceanog, Patras, Greece; [Ardali, Y.] Ondokuz Mayis Univ, Dept Environm Engn, Samsun, Turkey</t>
  </si>
  <si>
    <t>University of Patras; University of Patras; Ondokuz Mayis University</t>
  </si>
  <si>
    <t>Karapanagioti, HK (corresponding author), Univ Patras, Dept Chem, Patras, Greece.</t>
  </si>
  <si>
    <t>karapanagioti@upatras.gr</t>
  </si>
  <si>
    <t>PAPATHEODOROU, GEORGE/GNP-5019-2022; Karapanagioti, Hrissi/AAI-1461-2020</t>
  </si>
  <si>
    <t>PAPATHEODOROU, GEORGE/0000-0003-3732-1900; Karapanagioti, Hrissi/0000-0002-0297-5229</t>
  </si>
  <si>
    <t>General Secretariat for Research and Technology (GSRT) [12671]; Hellenic Foundation for Research and Innovation (HFRI) [12671]; European Union [LIFE14 GIE/GR/001127]; Green Fund [LIFE14 GIE/GR/001127]; Laboratory of Marine Geology and Physical Oceanography, Department of Geology, University of Patras [LIFE14 GIE/GR/001127]</t>
  </si>
  <si>
    <t>General Secretariat for Research and Technology (GSRT)(Greek Ministry of Development-GSRT); Hellenic Foundation for Research and Innovation (HFRI); European Union(European Union (EU)); Green Fund; Laboratory of Marine Geology and Physical Oceanography, Department of Geology, University of Patras</t>
  </si>
  <si>
    <t>The General Secretariat for Research and Technology (GSRT) and Hellenic Foundation for Research and Innovation (HFRI) for Pavlos Tziourrou scholarship (12671).; Beach litter fieldwork and study in Syros Island was carried out in the framework of LIFE DEBAG project (LIFE14 GIE/GR/001127) funded with the contribution of the European Union's LIFE financial instrument, the Green Fund, and Laboratory of Marine Geology and Physical Oceanography, Department of Geology, University of Patras own funds.</t>
  </si>
  <si>
    <t>MAY 2021</t>
  </si>
  <si>
    <t>TR9ZR</t>
  </si>
  <si>
    <t>WOS:000679317100002</t>
  </si>
  <si>
    <t>Higher number of microplastics in tumoral colon tissues from patients with colorectal adenocarcinoma</t>
  </si>
  <si>
    <t>Microplastics have been detected in marine and terrestrial ecosystems, yet the toxic effects of microplastics on living organisms are poorly known. In particular, there is few knowledge on the relationship between microplastic exposure and human cancer. Here we studied the occurrence of microplastics in tumoral and non-tumoral colon tissues of patients diagnosed with colorectal adenocarcinoma, and in colon tissues of subjects not diagnosed with colorectal cancer, as control. Microplastics were analyzed by attenuated total reflection-Fourier-transform infrared and Raman spectroscopies. Results show that the number of microplastics in tumoral colon tissues is higher than the number of microplastics in non-tumoral colon tissues or control. The particle size of microplastics extracted from colon tissues ranges from 1 to 1299 mu m. The microplastics included polyethylene, poly(methyl methacrylate), and Nylon (polyamide). Overall, our findings suggest a possible connection between colorectal cancer and microplastic exposure.</t>
  </si>
  <si>
    <t>10.1007/s10311-022-01560-4</t>
  </si>
  <si>
    <t>Cetin, M; Miloglu, FD; Baygutalp, NK; Ceylan, O; Yildirim, S; Eser, G; Gul, HI</t>
  </si>
  <si>
    <t>Cetin, Meltem; Miloglu, Fatma Demirkaya; Baygutalp, Nurcan Kilic; Ceylan, Onur; Yildirim, Serkan; Eser, Gizem; Gul, Halise Inci</t>
  </si>
  <si>
    <t>ENVIRONMENTAL CHEMISTRY LETTERS</t>
  </si>
  <si>
    <t>ATR-FTIR spectroscopy; Raman spectroscopy; Colorectal cancer; Health; Microplastics; Pollution</t>
  </si>
  <si>
    <t>HUMAN HEALTH; FTIR</t>
  </si>
  <si>
    <t>[Cetin, Meltem] Ataturk Univ, Fac Pharm, Dept Pharmaceut Technol, Erzurum, Turkiye; [Miloglu, Fatma Demirkaya] Ataturk Univ, Fac Pharm, Dept Analyt Chem, Erzurum, Turkiye; [Baygutalp, Nurcan Kilic] Ataturk Univ, Fac Pharm, Dept Biochem, TR-25240 Erzurum, Turkiye; [Ceylan, Onur] Ataturk Univ, Fac Med, Dept Pathol, Erzurum, Turkiye; [Yildirim, Serkan; Eser, Gizem] Ataturk Univ, Fac Vet Med, Dept Pathol, Erzurum, Turkiye; [Gul, Halise Inci] Ataturk Univ, Fac Pharm, Dept Pharmaceut Chem, Erzurum, Turkiye</t>
  </si>
  <si>
    <t>Ataturk University; Ataturk University; Ataturk University; Ataturk University; Ataturk University; Ataturk University</t>
  </si>
  <si>
    <t>Baygutalp, NK (corresponding author), Ataturk Univ, Fac Pharm, Dept Biochem, TR-25240 Erzurum, Turkiye.</t>
  </si>
  <si>
    <t>n.baygutalp@atauni.edu.tr</t>
  </si>
  <si>
    <t>CEYLAN, Onur/AAD-3016-2020; Çetin, Meltem/ABI-4879-2020; Yildirim, Serkan/AAH-6721-2020</t>
  </si>
  <si>
    <t xml:space="preserve">CEYLAN, Onur/0000-0001-7025-0521; </t>
  </si>
  <si>
    <t>1610-3653</t>
  </si>
  <si>
    <t>1610-3661</t>
  </si>
  <si>
    <t>ENVIRON CHEM LETT</t>
  </si>
  <si>
    <t>Environ. Chem. Lett.</t>
  </si>
  <si>
    <t>2023 FEB 2</t>
  </si>
  <si>
    <t>Chemistry, Multidisciplinary; Engineering, Environmental; Environmental Sciences</t>
  </si>
  <si>
    <t>Chemistry; Engineering; Environmental Sciences &amp; Ecology</t>
  </si>
  <si>
    <t>8J4FZ</t>
  </si>
  <si>
    <t>WOS:000922374600002</t>
  </si>
  <si>
    <t>Plastic Occurrence in Commercial Fish Species of the Black Sea</t>
  </si>
  <si>
    <t>The occurrence of micro- ( 5 mm), meso- (5-25 mm) and macroplastics ( 25mm) was investigated in seven commercial fish species of the Black Sea. Plastics were found in gastrointestinal track of all species analysed: Engraulis encrasicolus, Trachurus mediterraneus, Sarda sarda, Belone belone, Pomatus saltatrix, Merlangius merlangus and Mullus barbatus. A total of 352 plastic particles were removed from 190 individuals (29% of all individuals examined). The mean number of plastic particles per fish was 0.81 +/- 1.42 par.ind-1 (considering all fish analysed, n=650) and 2.06 +/- 1.09 par.ind-1 (considering only the fish that ingested plastic, n=190). The most common types of plastics were fibres (68.5%), followed by films (19%), fragments (11.9%), foams (0.3 %) and microbeads (0.3%). The most common plastic colour was black (39.3%) followed by blue (19.5%) and transparent (18.1%). The length of plastics ranged from 0.05 to 26.5 mm with an average of 1.84 +/- 2.80 mm. 93.2% of plastics were microplastics, 6.5 % as mesoplastics and 0.3% macroplastics. Plastic occurrence was higher in S. sarda (plastic in 70% of the analysed individuals) and lower in M. merlangus (plastic in 9% of the analysed individuals). The main synthetic polymers identified by Fourier-transform infrared (FTIR) spectroscopy were polypropylene (29.8%), polyester (17.5%), acrylic (15.8%), polyethylene (14%) and polystyrene (1.8%) and 21.1% of polymers were cellulosic. Results show that commercial fish of the Black Sea is contaminated by plastics. This might affect vital functions of fish and pose a risk to ecosystem and human health. The study contributes to a better understanding of the status of plastic pollution in the fish from different habitats of the Black Sea and provides baseline data to implement the Marine Strategy Framework Directive in the basin.</t>
  </si>
  <si>
    <t>10.4194/TRJFAS20504</t>
  </si>
  <si>
    <t>Aytan, U; Esensoy, FB; Senturk, Y; Arifoglu, E; Karaoglu, K; Ceylan, Y; Valente, A</t>
  </si>
  <si>
    <t>Aytan, Ulgen; Esensoy, Fatma Basak; Senturk, Yasemen; Arifoglu, Esra; Karaoglu, Kaan; Ceylan, Yusuf; Valente, Andre</t>
  </si>
  <si>
    <t>Microplastic; Mesoplastics; Ingestion; Fish; MSFD; Black Sea</t>
  </si>
  <si>
    <t>1ST OBSERVATIONS; MARINE LITTER; GASTROINTESTINAL-TRACT; ORGANIC POLLUTANTS; DEMERSAL FISH; PELAGIC FISH; MICROPLASTICS; INGESTION; DEBRIS; ACCUMULATION</t>
  </si>
  <si>
    <t>[Aytan, Ulgen; Esensoy, Fatma Basak; Senturk, Yasemen; Arifoglu, Esra; Ceylan, Yusuf] Recep Tayyip Erdogan Univ, Dept Marine Biol, TR-53100 Rize, Turkey; [Karaoglu, Kaan] Recep Tayyip Erdogan Univ, Vocat Sch Tech Sci, Dept Chem &amp; Chem Proc Technol, TR-53100 Rize, Turkey; [Valente, Andre] Univ Lisbon, Fac Sci, MARE, Marine &amp; Environm Sci Ctr, P-1749016 Lisbon, Portugal</t>
  </si>
  <si>
    <t>Recep Tayyip Erdogan University; Recep Tayyip Erdogan University; Universidade de Lisboa</t>
  </si>
  <si>
    <t>Aytan, Ulgen/G-5253-2016; KARAOĞLU, Kaan/A-7859-2015; Valente, Andre/G-5244-2016; ESENSOY, F. Basak/U-1480-2017</t>
  </si>
  <si>
    <t>Aytan, Ulgen/0000-0002-6530-3083; KARAOĞLU, Kaan/0000-0003-3265-8328; Valente, Andre/0000-0002-8789-7038; ESENSOY, F. Basak/0000-0001-7046-3842; CEYLAN, YUSUF/0000-0002-7513-4957</t>
  </si>
  <si>
    <t>TRJFAS20504</t>
  </si>
  <si>
    <t>WOS:000763773900002</t>
  </si>
  <si>
    <t>Ubiquitous exposure to microfiber pollution in the air</t>
  </si>
  <si>
    <t>Microplastics (MPs) are among major micro-pollutants ( mm) which can be found in water sources and air in substantial quantities, and which still are not covered by standard extraction and analysis procedures. Even though several researches have demonstrated the presence in water sources of different MP fragments, the most common type of MP in wastewater treatment plants (WWTPs) and in the atmosphere are MP fibers. MP fibers (MFs) present in the atmosphere deriving from a number of sources can settle on the ground, but they can also float due to wind and air flows, reaching the respiratory system of humans like other pollutants. The objective of the present study is to make an evaluation of the amount of microplastic fibers that freely float in the air due to their light weight and nano-, micro-size. To quantify the presence of MPs in the air, their amount was evaluated after collecting them in two sites: an intercity terminal and a university campus.</t>
  </si>
  <si>
    <t>10.1140/epjp/i2018-12372-7</t>
  </si>
  <si>
    <t>Kaya, AT; Yurtsever, M; Bayraktar, SC</t>
  </si>
  <si>
    <t>Kaya, Ahmet Tunahan; Yurtsever, Meral; Bayraktar, Senem Ciftci</t>
  </si>
  <si>
    <t>EUROPEAN PHYSICAL JOURNAL PLUS</t>
  </si>
  <si>
    <t>MICROPLASTIC POLLUTION; MARINE-ENVIRONMENT; SYNTHETIC-FIBERS; TEXTILE FIBERS; IDENTIFICATION; PARTICLES; SPECTROSCOPY; CONTAMINANTS; SALTS</t>
  </si>
  <si>
    <t>[Kaya, Ahmet Tunahan; Yurtsever, Meral; Bayraktar, Senem Ciftci] Sakarya Univ, Environm Engn Dept, Sakarya, Turkey</t>
  </si>
  <si>
    <t>TUBITAK (The Scientific and Technological Research Council of Turkey) [115Y303]</t>
  </si>
  <si>
    <t>This study was supported by TUBITAK (The Scientific and Technological Research Council of Turkey) (Project No: 115Y303).</t>
  </si>
  <si>
    <t>2190-5444</t>
  </si>
  <si>
    <t>EUR PHYS J PLUS</t>
  </si>
  <si>
    <t>Eur. Phys. J. Plus</t>
  </si>
  <si>
    <t>NOV 30</t>
  </si>
  <si>
    <t>Physics, Multidisciplinary</t>
  </si>
  <si>
    <t>Physics</t>
  </si>
  <si>
    <t>HD6AR</t>
  </si>
  <si>
    <t>WOS:000452614300003</t>
  </si>
  <si>
    <t>The effect of polystyrene microplastic and biosolid application on the toxicity and bioaccumulation of cadmium for Enchytraeus crypticus</t>
  </si>
  <si>
    <t>Plastics smaller than 5 mm that end up in a soil environment are known as microplastics (MPs). Microplastics have become a common contaminant in agricultural areas in addition to metals. However, the effect of cadmium (Cd) on soil organisms has not been clearly defined in the presence of MPs. In addition to MPs, biosolid application as a soil amendment in agricultural lands is also leading to shifts in soil conditions, such as the concentrations of nutrients and organic matter. Therefore, the aim of this study is to investigate the toxicity and bioaccumulation of Cd for Enchytraeus crypticus in the presence of polystyrene (PS)-MPs and biosolids to provide insight into their possible interactions. The lethal toxic concentration (LC50) for Cd was higher than 650 mg Cd/kg dry soil for all conditions. The presence of PS-MPs increased the toxicity of Cd for which EC50 was 102 and 38 mg Cd/kg dry soil without and with Cd, respectively, which may be the result of an increased exposure rate through adsorption of Cd on PS-MPs. On the contrary, the presence of biosolids decreased the toxicity of Cd where EC50 was 193 and 473 mg Cd/kg dry soil for the sets applied with 0.6 and 0.9 g biosolids, respectively. Coexistence of biosolids and PS-MPs decreased the reproduction toxicity of Cd, which is similar to the biosolid effect (EC50 is 305 mg Cd/kg dry soil). Bioaccumulation of Cd only positively correlated with its initial concentration in soil and was not affected by the presence of PS-MPs or biosolids. Integr Environ Assess Manag 2022;00:1-12. (c) 2022 SETAC</t>
  </si>
  <si>
    <t>10.1002/ieam.4667</t>
  </si>
  <si>
    <t>Ozturk, I; Ozkul, F; Topuz, E</t>
  </si>
  <si>
    <t>Ozturk, Irem; Ozkul, Fatma; Topuz, Emel</t>
  </si>
  <si>
    <t>INTEGRATED ENVIRONMENTAL ASSESSMENT AND MANAGEMENT</t>
  </si>
  <si>
    <t>Bioaccumulation; Biosolid; Cadmium; E; crypticus; Polystyrene microplastic</t>
  </si>
  <si>
    <t>AGRICULTURAL SOILS; HEAVY-METALS; LEAD; BIOAVAILABILITY; POLLUTION; TOXICOKINETICS; TRANSPORT; CHROMIUM; SLUDGE; CD</t>
  </si>
  <si>
    <t>[Ozturk, Irem; Ozkul, Fatma; Topuz, Emel] Gebze Tech Univ, Dept Environm Engn, Kocaeli, Turkey</t>
  </si>
  <si>
    <t>Gebze Technical University</t>
  </si>
  <si>
    <t>Topuz, E (corresponding author), Gebze Tech Univ, Dept Environm Engn, Kocaeli, Turkey.</t>
  </si>
  <si>
    <t>emeltopuz@gtu.edu.tr</t>
  </si>
  <si>
    <t>TUBITAK [2209-A]</t>
  </si>
  <si>
    <t>The authors sincerely thank Professor Dr. Salim oNCEL for ICP-OES analysis of cadmium; Assistant Professor Dr. Derya Ayral Cinar and Dilara Bura Bartan for their contribution to review the study; and Associate Dr. Emel Kuram and Onder Gedik for shredding microplastics under 2mm. Fatma Ozkul received funding from TUBITAK 2209-A Research Projects Support Program for University Students.</t>
  </si>
  <si>
    <t>1551-3777</t>
  </si>
  <si>
    <t>1551-3793</t>
  </si>
  <si>
    <t>INTEGR ENVIRON ASSES</t>
  </si>
  <si>
    <t>Integr. Environ. Assess. Manag.</t>
  </si>
  <si>
    <t>D9CE7</t>
  </si>
  <si>
    <t>WOS:000850233400001</t>
  </si>
  <si>
    <t>Microplastics in municipal wastewater treatment plants in Turkey: a comparison of the influent and secondary effluent concentrations</t>
  </si>
  <si>
    <t>Wastewater treatment plants are one of the primary pathways through which microplastics enter aquatic environments. In this study, we have determined the microplastic concentrations of the influent and secondary effluent water of two wastewater treatment plants in Turkey. For this purpose, we have taken samples of the influent and effluent water of Seyhan and Yureir wastewater treatment facilities for 6 days in August 2017 and determined their microplastics' content both visually and using mu-Raman spectroscopy. The results showed that the influent of the wastewater treatment contained 1 million-6.5 million particles per day, while the effluent contained 220,000-1.5 million particles per day. The removal rate of microplastics was found to be between 73 and 79%. In total, seven different types of polymers were detected. The most frequently observed polymer type was polyester.</t>
  </si>
  <si>
    <t>10.1007/s10661-018-7010-y</t>
  </si>
  <si>
    <t>Gundogdu, S; Cevik, C; Guzel, E; Kilercioglu, S</t>
  </si>
  <si>
    <t>Gundogdu, Sedat; Cevik, Cem; Guzel, Evsen; Kilercioglu, Serdar</t>
  </si>
  <si>
    <t>Wastewater treatment plant; Microplastic; Microfibre; Polyester; Turkey</t>
  </si>
  <si>
    <t>NE LEVANTINE COAST; MARINE-ENVIRONMENT; MERSIN BAY; POLLUTION; SEA; REMOVAL; RIVER</t>
  </si>
  <si>
    <t>[Gundogdu, Sedat; Cevik, Cem; Guzel, Evsen] Cukurova Univ, Dept Basic Sci, Fac Fisheries, TR-01330 Adana, Turkey; [Kilercioglu, Serdar] Cukurova Univ, Biotechnol Res &amp; Applicat Ctr, TR-01330 Adana, Turkey</t>
  </si>
  <si>
    <t>Guzel, Evsen Yavuz/G-7007-2018; Gündoğdu, Sedat/B-4475-2018</t>
  </si>
  <si>
    <t>Guzel, Evsen Yavuz/0000-0002-8029-9254; Gündoğdu, Sedat/0000-0002-4415-2837</t>
  </si>
  <si>
    <t>GV5UY</t>
  </si>
  <si>
    <t>WOS:000446171000002</t>
  </si>
  <si>
    <t>Characterization of microplastic pollution in tadpoles living in small water-bodies from Rize, the northeast of Turkey</t>
  </si>
  <si>
    <t>Microplastic pollution is a growing problem for Turkey and other countries, but most studies focus on the pollution in oceans and seas. To understand the relationship between microplastics, fresh water, and terrestrial environment, we examined Pelophylax ridibundus and Rana macrocnemis tadpoles that can inhabit a wide range of both terrestrial and aquatic habitats, ecoregions and elevations, and that are members of Ranidae family. We characterized microplastics (MPs) in sediments, surface water, and tadpoles from the Rize province in northeastern of Turkey. The content of MPs in sediments, surface water, and tadpoles, ranged 64.17-472.1 items/kg, 1-13 items/L and 302.62-306.69 items/g, respectively. In sediment samples, polypropylene (PP) and polyethylene (PE) were the dominant pollutants; whereas, nylon and polyethylene terephthalate (PET) were found in surface water. In tadpoles, PET, nylon, and polyacrylic were the dominant MPs. (C) 2020 Elsevier Ltd. All rights reserved.</t>
  </si>
  <si>
    <t>10.1016/j.chemosphere.2020.126915</t>
  </si>
  <si>
    <t>Karaoglu, K; Gul, S</t>
  </si>
  <si>
    <t>Karaoglu, Kaan; Gul, Serkan</t>
  </si>
  <si>
    <t>Amphibians; Bioindicator; Environment; Pollutant; Sediment</t>
  </si>
  <si>
    <t>SURFACE WATERS; SEA; CONTAMINATION; ACCUMULATION; GLITTERS; WASTE</t>
  </si>
  <si>
    <t>[Karaoglu, Kaan] Recep Tayyip Erdogan Univ, Vocat Sch Tech Sci, Dept Chem &amp; Chem Proc Technol, TR-53100 Rize, Turkey; [Gul, Serkan] Recep Tayyip Erdogan Univ, Fac Arts &amp; Sci, Dept Biol, TR-53100 Rize, Turkey</t>
  </si>
  <si>
    <t>Gul, S (corresponding author), Recep Tayyip Erdogan Univ, Fac Arts &amp; Sci, Dept Biol, TR-53100 Rize, Turkey.</t>
  </si>
  <si>
    <t>serkan.gul@erdogan.edu.tr</t>
  </si>
  <si>
    <t>KARAOĞLU, Kaan/AAC-6180-2019; KARAOĞLU, Kaan/A-7859-2015; gül, serkan/ABC-4333-2020</t>
  </si>
  <si>
    <t>KARAOĞLU, Kaan/0000-0003-3265-8328; KARAOĞLU, Kaan/0000-0003-3265-8328; gül, serkan/0000-0002-0372-7462</t>
  </si>
  <si>
    <t>LV0IK</t>
  </si>
  <si>
    <t>WOS:000538127800028</t>
  </si>
  <si>
    <t>Microplastics in Turkish Straits System: A Case Study of the Bays and Straits</t>
  </si>
  <si>
    <t>When plastics were first created as easy to create, long-lasting materials, there was no environmental foresight. Now all plastics pollute including land, water, groundwater have been penetrated all levels of the food chain. Plastic fragmentation into smaller-sized particles and their entering into various environments in directly small sizes created a new global issue of high concern known as microplastics. This study was undertaken for better understanding the microplastic abundance, type and size distribution in the most populous region of Turkey by analyzing surface water and water column properties in the Turkish straits system in 2016. Our results showed that surface water microplastics ranged between 0.17 and 2.52 item/m(3), while in water column abundance was between 4.12 to 34.90 items/m(3). The proportional concentration of fibers was higher in water column samples (between 100% and 59.49%) than in surface water samples (between 70.59% and 19.75%). Microplastics between 0.3 and 2.0 mm had a ratio of 76.80 %. Considering the straits' boundaries, the entrance of the Istanbul Strait had more than two fold of microplastics than that in the exit of Dardanelles in water column. Heavily industrialized/urbanized bays had higher microplastics concentration where point and non-point sources considered as disturbances.</t>
  </si>
  <si>
    <t>10.4194/TRJFAS20603</t>
  </si>
  <si>
    <t>Gurkan, Y; Yuksek, A</t>
  </si>
  <si>
    <t>Gurkan, Yaprak; Yuksek, Ahsen</t>
  </si>
  <si>
    <t>TSS; Marine litter; Microplastics; The Sea of Marmara; Mediterranean Sea</t>
  </si>
  <si>
    <t>SURFACE SEDIMENTS; MARINE-ENVIRONMENT; PLASTIC DEBRIS; MARMARA SEA; MEDITERRANEAN SEA; COASTAL WATERS; HEAVY-METALS; ACCUMULATION; FRAGMENTATION; DISTRIBUTIONS</t>
  </si>
  <si>
    <t>[Gurkan, Yaprak; Yuksek, Ahsen] Istanbul Univ, Inst Marine Sci &amp; Management, Mollahusrev Mah,Muskule Sok, TR-34134 Istanbul, Turkey</t>
  </si>
  <si>
    <t>Istanbul University</t>
  </si>
  <si>
    <t>Gurkan, Y (corresponding author), Istanbul Univ, Inst Marine Sci &amp; Management, Mollahusrev Mah,Muskule Sok, TR-34134 Istanbul, Turkey.</t>
  </si>
  <si>
    <t>yaprak.gurkan@istanbul.edu.tr</t>
  </si>
  <si>
    <t>YÜKSEK, AHSEN/AAD-2963-2020</t>
  </si>
  <si>
    <t>YÜKSEK, AHSEN/0000-0001-7949-3001</t>
  </si>
  <si>
    <t>Scientific and Technological Research Council of Turkey (TUBITAK) [117Y270]</t>
  </si>
  <si>
    <t>This study was funded by the Scientific and Technological Research Council of Turkey (TUBITAK); project number 117Y270 reported in 2019, and the field studies were conducted during the project Integrated Marine Pollution Monitoring Program of Ministry of Environment and Urbanization in 2016.</t>
  </si>
  <si>
    <t>TRJFAS20603</t>
  </si>
  <si>
    <t>7A0WA</t>
  </si>
  <si>
    <t>WOS:000898185300003</t>
  </si>
  <si>
    <t>Contamination of table salts from Turkey with microplastics</t>
  </si>
  <si>
    <t>Microplastics (MPs) pollution has become a problem that affects all aquatic, atmospheric and terrestial environments in the world. In this study, we looked into whether MPs in seas and lakes reach consumers through table salt. For this purpose, we obtained 16 brands of table salts from the Turkish market and determined their MPs content with microscopic and Raman spectroscopic examination. According to our results, the MP particle content was 16-84 item/kg in sea salt, 8-102 item/kg in lake salt and 9-16 item/kg in rock salt. The most common plastic polymers were polyethylene (22.9%) and polypropylene (19.2%). When the amounts of MPs and the amount of salt consumed by Turkish consumers per year are considered together, if they consume sea salt, lake salt or rock salt, they consume 249-302, 203-247 or 64-78 items per year, respectively. This is the first time this concerning level of MPs content in table salts in the Turkish market has been reported.</t>
  </si>
  <si>
    <t>10.1080/19440049.2018.1447694</t>
  </si>
  <si>
    <t>Microplastic; table salt; contamination; food security; Turkey</t>
  </si>
  <si>
    <t>MARINE-ENVIRONMENT; PLASTIC DEBRIS; HEALTH IMPACT; POLLUTION; SEA; CONSUMPTION; INGESTION; MICRO; FISH; IDENTIFICATION</t>
  </si>
  <si>
    <t>GO0WA</t>
  </si>
  <si>
    <t>WOS:000439664100017</t>
  </si>
  <si>
    <t>Microplastic Consumption and Its Effect on Respiration Rate and Motility of Calanus helgolandicus From the Marmara Sea</t>
  </si>
  <si>
    <t>Consumption rates of polystyrene microplastics (beads of 6, 12, and 26 mu m diameter) and their effects on energy metabolism and motor activity of the copepod Calanus helgolandicus living in the Marmara Sea were investigated. All sizes of microplastic particles were actively consumed and excreted via fecal pellets, however, copepods displayed a significant preference for beads sized 6 mu m. In a mixture of algae and microplastics beads of 6 mu m, microplastics consumption rates linearly (r(2) = 0.78, n = 154) increased 800 times from 50.8 +/- 17.3 to 8,612 +/- 5,972 beads ind(-1) day(-1) with an increase in bead concentration from 10 to 44,000 beads ml(-1). The total and basal metabolic rates as well as time spent swimming for C. helgolandicus, decreased 1.7, 1.8 and about 3-fold, respectively after 7-8 days exposure to microplastic treatments, which was similar to the metabolism and activity of starving animals in filtered water. In copepods consuming microplastics, all vital parameters decreased on the first day of exposure, indicating either accelerated starvation, probably due to increased losses of energy and biological matter in the formation of fecal pellets and/or traumatic/toxic effects of the polystyrene beads on the copepods. Our data from laboratory experiments indicate that the presence of large concentrations of microplastics in water, even when mixed with algae, lowered energy metabolism levels of C. helgolandicus.</t>
  </si>
  <si>
    <t>10.3389/fmars.2020.603321</t>
  </si>
  <si>
    <t>Isinibilir, M; Svetlichny, L; Mykitchak, T; Turkeri, EE; Eryalcin, KM; Dojan, O; Can, G; Yuksel, E; Kideys, AE</t>
  </si>
  <si>
    <t>Isinibilir, Melek; Svetlichny, Leonid; Mykitchak, Taras; Turkeri, Ezgi E.; Eryalcin, Kamil Mert; Dojan, Onur; Can, Gulsah; Yuksel, Esin; Kideys, Ahmet E.</t>
  </si>
  <si>
    <t>microplastics; consumption; respiration; behavior; Calanus; Marmara Sea</t>
  </si>
  <si>
    <t>MARINE COPEPOD; ENVIRONMENTAL IMPACTS; SALINITY TOLERANCE; FEEDING COPEPODS; ACARTIA-CLAUSI; FOOD SELECTION; FECAL PELLET; FRESH-WATER; INGESTION; ZOOPLANKTON</t>
  </si>
  <si>
    <t>[Isinibilir, Melek; Turkeri, Ezgi E.] Istanbul Univ, Fac Aquat Sci, Dept Marine &amp; Freshwater Resources Management, Istanbul, Turkey; [Svetlichny, Leonid] Natl Acad Sci NAS Ukraine, II Schmalhausen Inst Zool, Dept Invertebrate Fauna &amp; Systemat, Kiev, Ukraine; [Mykitchak, Taras] Natl Acad Sci NAS Ukraine, Fac Biol, Inst Carpathian Ecol, Lvov, Ukraine; [Eryalcin, Kamil Mert] Istanbul Univ, Fac Aquat Sci, Dept Aquaculture &amp; Fish Dis, Istanbul, Turkey; [Dojan, Onur; Yuksel, Esin] Istanbul Univ, Inst Grad Studies Sci, Istanbul, Turkey; [Can, Gulsah; Kideys, Ahmet E.] Middle East Tech Univ, Inst Marine Sci, Mersin, Turkey</t>
  </si>
  <si>
    <t>Istanbul University; National Academy of Sciences Ukraine; Schmalhausen Institute of Zoology of NASU; National Academy of Sciences Ukraine; Institute of Ecology of Carpathians; Istanbul University; Istanbul University; Middle East Technical University</t>
  </si>
  <si>
    <t>Kideys, AE (corresponding author), Middle East Tech Univ, Inst Marine Sci, Mersin, Turkey.</t>
  </si>
  <si>
    <t>kideys@gmail.com</t>
  </si>
  <si>
    <t>ERYALÇIN, Kamil Mert/F-8593-2013; KIDEYS, Ahmet Erkan/HZK-4698-2023; KIDEYS, Ahmet E/Q-1824-2015; Svetlichny, Leonid/T-9225-2017</t>
  </si>
  <si>
    <t>Istanbul University [25919, 35212, 31404]; Scientific and Technological Research Council of Turkey [115Y627]; National Academy of Sciences of Ukraine [0114U002041]</t>
  </si>
  <si>
    <t>Istanbul University(Istanbul University); Scientific and Technological Research Council of Turkey(Turkiye Bilimsel ve Teknolojik Arastirma Kurumu (TUBITAK)); National Academy of Sciences of Ukraine</t>
  </si>
  <si>
    <t>This work was supported by the Research Fund of Istanbul University (Grant Nos. 25919, 35212, and 31404), the Scientific and Technological Research Council of Turkey (Grant No. 115Y627), and the projects of the National Academy of Sciences of Ukraine (Grant No. 0114U002041).</t>
  </si>
  <si>
    <t>DEC 23</t>
  </si>
  <si>
    <t>PK4XS</t>
  </si>
  <si>
    <t>WOS:000602450400001</t>
  </si>
  <si>
    <t>Interaction of Microplastic Presence and Oxidative Stress in Freshwater Fish: A Regional Scale Research, East Anatolia of Turkiye (Erzurum &amp; Erzincan &amp; Bingol)</t>
  </si>
  <si>
    <t>The presence of microplastic (MP) in different fish species taken from stations in Erzurum, Erzincan and Bingol was examined. The obtained data were classified and shared with the scientific world as the first record made in this region. In the obtained results, the most dominant color was black (39-58%) and the most prevalent forms were fragment and fiber. The sizes (0-50, 50-100 mu m) of microplastics differed according to the region and species. When the number of MPs in the gastrointestinal systems of different fish species in the Bingol, Erzurum and Erzincan provinces was evaluated, the most microplastics were found in Squalius squalus (20.7%) and Blicca bjoerkna (18.2%) in Bingol province from among six different species. In Erzincan province, four fish species were sampled, and the rates were (29.7%) in Capoeta umbla and (26.6%) in Blicca bjoerkna. The highest abundance in Erzurum province was determined in Cyprinus carpio (53.0%). In the analyses performed on liver tissues, the highest ROS, which is the indicator of oxidative damage, was listed as Bingol &gt; Erzincan &gt; Erzurum, while MDA levels were recorded as Bingol &gt; Erzurum &gt; Erzincan, from high to low. When the differences between species were examined, the highest SOD and CAT activity was determined in the Mugil cephalus species. Considering the total MP numbers in fish samples, 47 MP was determined in this species. On the other hand, in the Squalius squalus species, where the highest total MP was determined, SOD and CAT activities were found to be low in Bingol province. Therewithal, the high levels of ROS and MDA in this species can be said to induce oxidative stress due to the presence of microplastics on the one hand and to reduce antioxidant levels on the other hand. When the findings were evaluated, it was concluded that MPs in freshwater are a potential stressor, and freshwater environments may represent a critical target habitat for future MP removal and remediation strategies.</t>
  </si>
  <si>
    <t>10.3390/su141912009</t>
  </si>
  <si>
    <t>Atamanalp, M; Kokturk, M; Kirici, M; Ucar, A; Kirici, M; Parlak, V; Aydin, A; Alak, G</t>
  </si>
  <si>
    <t>Atamanalp, Muhammed; Kokturk, Mine; Kirici, Mahinur; Ucar, Arzu; Kirici, Muammer; Parlak, Veysel; Aydin, Ahmet; Alak, Gonca</t>
  </si>
  <si>
    <t>microplastics; fish; oxidative stress; microplastic presence</t>
  </si>
  <si>
    <t>RIVER THAMES; POLLUTION; INGESTION; EXTRACTION; SEDIMENTS; PROTOCOL; LAKE; BAY; UK</t>
  </si>
  <si>
    <t>[Atamanalp, Muhammed; Ucar, Arzu] Ataturk Univ, Fac Fisheries, Dept Aquaculture, TR-25240 Erzurum, Turkey; [Kokturk, Mine] Igdir Univ, Fac Appl Sci, Dept Organ Agr Management, TR-76002 Igdir, Turkey; [Kirici, Mahinur] Bingol Univ, Fac Arts &amp; Sci, Dept Chem, TR-12000 Bingol, Turkey; [Kirici, Muammer] Bingol Univ, Food Agr &amp; Livestock Vocat Sch, Dept Vet Hlth, TR-12000 Bingol, Turkey; [Parlak, Veysel] Ataturk Univ, Fac Fisheries, Dept Basic Sci, TR-25240 Erzurum, Turkey; [Aydin, Ahmet] Akdeniz Univ, Finike Vocat Sch, Dept Plant &amp; Anim Prod, TR-07058 Antalya, Turkey; [Alak, Gonca] Ataturk Univ, Fac Fisheries, Dept Seafood Proc Technol, TR-25240 Erzurum, Turkey</t>
  </si>
  <si>
    <t>Ataturk University; Igdir University; Bingol University; Bingol University; Ataturk University; Akdeniz University; Ataturk University</t>
  </si>
  <si>
    <t>Ucar, A (corresponding author), Ataturk Univ, Fac Fisheries, Dept Aquaculture, TR-25240 Erzurum, Turkey.</t>
  </si>
  <si>
    <t>arzuucar@atauni.edu.tr</t>
  </si>
  <si>
    <t>ALAK, Gonca/HZK-0144-2023; Atamanalp, Muhammed/AAG-2950-2020; KIRICI, Muammer/M-8355-2017</t>
  </si>
  <si>
    <t>KIRICI, Muammer/0000-0003-1888-4388; ATAMANALP, MUHAMMED/0000-0002-2038-3921; UCAR, Arzu/0000-0001-5675-9401</t>
  </si>
  <si>
    <t>5G8SC</t>
  </si>
  <si>
    <t>WOS:000867260800001</t>
  </si>
  <si>
    <t>Occurrence and risk assessment of microplastics from various toothpastes</t>
  </si>
  <si>
    <t>Microplastics have become a major environmental issue; their release from various products affects the aquatic environment. Personal care products such as toothpastes are recently being considered as a significant source of microplastics released to the aquatic environment. This study aims to assess the presence of microplastics found in toothpastes that are available in the drugstores and markets in Istanbul, Turkey. A total of 20 samples were tested. Following the extraction procedure, obtained particles were quantified and then characterized by microscopic evaluation and surface chemistry analysis. Twenty percent of the samples were found to contain microplastics in the structure of polyethylene at concentrations varying between 0.4 and 1%. In order to evaluate the release to environment, a risk assessment was conducted and yearly microplastic emission caused by toothpaste consumption was calculated based on the results.</t>
  </si>
  <si>
    <t>10.1007/s10661-019-7574-1</t>
  </si>
  <si>
    <t>Ustabasi, GS; Baysal, A</t>
  </si>
  <si>
    <t>Ustabasi, Gul Sirin; Baysal, Asli</t>
  </si>
  <si>
    <t>Microplastics; Toothpaste; Risk assessment; Environment; Sea water</t>
  </si>
  <si>
    <t>PERSONAL-CARE; COSMETIC PRODUCTS; PLASTIC PARTICLES; MARINE POLLUTION; SURFACE WATERS; ENVIRONMENT</t>
  </si>
  <si>
    <t>[Ustabasi, Gul Sirin; Baysal, Asli] Istanbul Aydin Univ, Hlth Serv Vocat Sch Higher Educ, TC, TR-34295 Istanbul, Turkey</t>
  </si>
  <si>
    <t>Istanbul Aydin University</t>
  </si>
  <si>
    <t>Baysal, A (corresponding author), Istanbul Aydin Univ, Hlth Serv Vocat Sch Higher Educ, TC, TR-34295 Istanbul, Turkey.</t>
  </si>
  <si>
    <t>Ustabasi, Gul Sirin/0000-0003-1828-5297; BAYSAL, ASLI/0000-0002-0178-7808</t>
  </si>
  <si>
    <t>ID5DN</t>
  </si>
  <si>
    <t>WOS:000471696600007</t>
  </si>
  <si>
    <t>The spatial and temporal changes of beach litter on Istanbul (Turkey) beaches as measured by the clean-coast index</t>
  </si>
  <si>
    <t>Possible access routes of macro and mesoplastics, acting as the main sources of pollution in the coastal ecosystem, are examined as a case study on four beaches along the Istanbul coast. A total number of 3787 items belonging to 12 categories of debris types were collected as follows: macroplastics 47.8%; mesoplastics 9.2%; and others 43.0% such as paper pieces, glass pieces and metal beverage cans. Clean-coast and carbonyl indexes were also used to identify the level of cleanliness of the sampling sites. The clean-coast index revealed that all of the sample sites were categorized as extremely dirty. Moreover, carbonyl index results indicate that 35.7% of the samples were at a high oxidation level indicating that some of the particles relatively spend more time on beaches. The litter concentration and surface oxidation results were addressing issues that should be taken into consideration to improve litter management strategies of the beaches.</t>
  </si>
  <si>
    <t>10.1016/j.marpolbul.2022.113407</t>
  </si>
  <si>
    <t>Akarsu, C; Sonmez, VZ; Altay, MC; Pehlivan, T; Sivri, N</t>
  </si>
  <si>
    <t>Akarsu, Ceyhun; Sonmez, Vildan Zuelal; Altay, Melek Cumbul; Pehlivan, Tayfun; Sivri, Nueket</t>
  </si>
  <si>
    <t>Marine litter; Macroplastic; Mesoplastics; Coastal area; Carbonyl index; Non-plastic litter</t>
  </si>
  <si>
    <t>PLASTIC MARINE DEBRIS; MICROPLASTIC POLLUTION; CARBONYL INDEX; ENVIRONMENT; ABUNDANCE; IMPACTS; IDENTIFICATION; POLYETHYLENE; SEDIMENTS; SYSTEM</t>
  </si>
  <si>
    <t>[Akarsu, Ceyhun; Sonmez, Vildan Zuelal; Sivri, Nueket] Istanbul Univ Cerrahpasa, Dept Environm Engn, Istanbul, Turkey; [Altay, Melek Cumbul] Istanbul Univ Cerrahpasa, Dept Met &amp; Mat Engn, Istanbul, Turkey; [Pehlivan, Tayfun] Istanbul Univ Cerrahpasa, Inst Grad Studies, Istanbul, Turkey</t>
  </si>
  <si>
    <t>Istanbul University - Cerrahpasa; Istanbul University - Cerrahpasa; Istanbul University - Cerrahpasa</t>
  </si>
  <si>
    <t>Akarsu, C (corresponding author), Istanbul Univ Cerrahpasa, Dept Environm Engn, Istanbul, Turkey.</t>
  </si>
  <si>
    <t>ceyhunakarsu@iuc.edu.tr</t>
  </si>
  <si>
    <t>Akarsu, Ceyhun/G-4632-2016</t>
  </si>
  <si>
    <t>Akarsu, Ceyhun/0000-0002-0168-9941</t>
  </si>
  <si>
    <t>FEB 2022</t>
  </si>
  <si>
    <t>1A7OO</t>
  </si>
  <si>
    <t>WOS:000791941500004</t>
  </si>
  <si>
    <t>Plastic occurrence in fish caught in the highly industrialized Gulf of Izmit (Eastern Sea of Marmara, T?rkiye)</t>
  </si>
  <si>
    <t>Occurrence of micro-(&lt;5 mm) and mesoplastics (5-25 mm) in twelve fish species caught off Gulf of Izmit in the Sea of Marmara was investigated. Plastics were found in the gastrointestinal tracks of all the analysed species: Trachurus mediterraneus, Chelon auratus, Merlangius merlangus, Mullus barbatus, Symphodus cinereus, Gobius niger, Chelidonichthys lastoviza, Chelidonichthys lucerna, Trachinus draco, Scorpaena porcus, Scorpaena porcus, Pegusa lascaris, Platichthys flesus. From a total of 374 individuals examined plastics were found in 147 individuals (39%). The average plastic ingestion was 1.14 +/- 1.03 MP. fish-1 (considering all the analysed fish) and 1.77 +/- 0.95 MP. fish-1 (considering only the fish with plastic). Fibres were the primary plastic types found in GITs (74%), fol-lowed by films (18%) and fragments (7%), no foams and microbeads were found. A total of ten different colours of plastics were found with blue (62%) being the most common colour. Length of plastics ranged from 0.13 to 11.76 mm with an average of 1.82 +/- 1.59 mm. A total of 95.5% of plastics were microplastics, and 4.5% as mesoplastics. The mean frequency of plastic occurrence was higher in pelagic fish species (42%), followed by demersal (38%) and bentho-pelagic species (10%). Fourier-transform infrared spectroscopy confirmed that 75% of polymers were synthetic with polyethylene terephthalate being the most common polymer. Our results indicated that carnivore species with a preference for fish and decapods were the highest impacted trophic group in the area. Fish species in the Gulf of Izmit are contaminated with plastics, representing a potential risk to ecosystem and human health. Further research is needed to understand the effects of plastic ingestion on biota and possible pathways. Results of this study also provide baseline data for the implementation of the Marine Strategy Framework Directive Descriptor 10 in the Sea of Marmara.</t>
  </si>
  <si>
    <t>10.1016/j.chemosphere.2023.138317</t>
  </si>
  <si>
    <t>Aytan, U; Esensoy, FB; Senturk, Y; Guven, O; Karaoglu, K; Erbay, M</t>
  </si>
  <si>
    <t>Aytan, Ulgen; Esensoy, F. Basak; Senturk, Yasemen; Guven, Olgac; Karaoglu, Kaan; Erbay, Murat</t>
  </si>
  <si>
    <t>Microplastic; Mesoplastic; Ingestion; Fish; Marine policy; Sea of marmara</t>
  </si>
  <si>
    <t>BAY TURKEY; GASTROINTESTINAL-TRACT; MEDITERRANEAN SEA; COMMERCIAL FISH; DEMERSAL FISH; PELAGIC FISH; MICROPLASTICS; INGESTION; COASTAL; WATERS</t>
  </si>
  <si>
    <t>[Aytan, Ulgen; Esensoy, F. Basak; Senturk, Yasemen] Recep Tayyip Erdogan Univ, Fac Fisheries, Dept Marine Biol, TR-53100 Rize, Turkiye; [Guven, Olgac] Akdeniz Univ, Fac Fisheries, TR-07070 Antalya, Turkiye; [Karaoglu, Kaan] Recep Tayyip Erdogan Univ, Vocat Sch Tech Sci, Dept Chem &amp; Chem Proc Technol, TR-53100 Rize, Turkiye; [Erbay, Murat] Republ Turkiye Minist Agr &amp; Forestry, Cent Fisheries Res Inst, Trabzon, Turkiye</t>
  </si>
  <si>
    <t>Recep Tayyip Erdogan University; Akdeniz University; Recep Tayyip Erdogan University; Ministry of Food, Agriculture &amp; Livestock - Turkey</t>
  </si>
  <si>
    <t>Aytan, U (corresponding author), Recep Tayyip Erdogan Univ, Fac Fisheries, Dept Marine Biol, TR-53100 Rize, Turkiye.</t>
  </si>
  <si>
    <t>Guven, Olgac/D-2399-2009</t>
  </si>
  <si>
    <t>Guven, Olgac/0000-0002-0920-673X</t>
  </si>
  <si>
    <t>The Fish Restocking in the Gulf of Izmit project of the Central Fisheries Institute of Republic of Turkiye Ministry of Agriculture and Forestry</t>
  </si>
  <si>
    <t>This work was partially supported by the The Fish Restocking in the Gulf of Izmit project of the Central Fisheries Institute of Republic of Turkiye Ministry of Agriculture and Forestry. We thank to Dr. Hamza POLAT and Assoc. Prof. Dr. Ilhan AYDIN for their support during the project.</t>
  </si>
  <si>
    <t>E0MF9</t>
  </si>
  <si>
    <t>WOS:000972572600001</t>
  </si>
  <si>
    <t>The Levels of Plastic-associated Heterotrophic Bacteria on Three Different Types of Plastics</t>
  </si>
  <si>
    <t>Plastic pollution in marine ecosystems is one of the most important study topics in recent years. The toxicity, mobility and long-term persistence characteristics of plastics create risk in ecosystems, biota and human health. In this study, the levels of heterotrophic bacteria attached to the surfaces of commonly used plastic types; polyvinylchloride (PVC), polyethylene (PE), and polypropylene (PP) were tested in a mechanical experimental system prepared with seawater under controlled conditions in laboratory. The seawater, which was used in the experimental system, was taken under aseptic conditions from the Golden Horn Estuary, located in the Istanbul region of Turkey. Three different types of plastic (PVC, PE and PP), in two different (glass slide (76x26 cm) and virgin micro pellets (5mm diameter) size, were placed in the experiment setup filled with seawater and incubated for 28 days at ambient temperature. At the end of 28 days, the counts of heterotrophic bacteria were tested using the spread plate technique on Marine Agar (Difco), in both plastic surfaces and surrounding seawater. The levels of heterotrophic bacteria were recorded to be lower in the seawater surrounding the micropellets and lam-size plastic samples. The seawater sample bacterial levels were recorded as 12x10(9) CFU/ml, at the start of the experiment. At the end of the 28th days, it was recorded to be 83x10(9) CFU/ml. The highest levels of heterotrophic bacteria were recorded as 41x10(10) CFU/cm(-2) and 61x10(10) CFU/cm(-2) on the lam-size surfaces and the micropellet surface of the polypropylene samples, respectively. In the experiments, the PP plastic type has been recorded as a more preferred plastic derivative by heterotrophic bacteria according to the PVC and PE plastic types, but there has been no significant difference in the bacterial adhesion rates on the surfaces. The study contributed increasing knowledge on the bacterial approach to microplastics types. However, there is a need for long term studies related to the mechanism of bacteria attached to microplastics.</t>
  </si>
  <si>
    <t>10.26650/ASE2020679538</t>
  </si>
  <si>
    <t>Turetken, PSC; Altug, G; Oksuzoglu, T</t>
  </si>
  <si>
    <t>Turetken, Pelin Saliha Ciftci; Altug, Gulsen; Oksuzoglu, Turgay</t>
  </si>
  <si>
    <t>Microplastic; heterotrophic bacteria; polyvinylchloride; polyethylene; polypropylene</t>
  </si>
  <si>
    <t>RESIN PELLETS; BIOFILMS; TRANSPORT; OCEAN; LIFE</t>
  </si>
  <si>
    <t>[Turetken, Pelin Saliha Ciftci; Altug, Gulsen] Istanbul Univ, Fac Aquat Sci, Dept Marine Biol, Istanbul, Turkey; [Oksuzoglu, Turgay] Istanbul Univ, Inst Grad Studies Sci, Dept Marine Biol, Istanbul, Turkey</t>
  </si>
  <si>
    <t>Turetken, PSC (corresponding author), Istanbul Univ, Fac Aquat Sci, Dept Marine Biol, Istanbul, Turkey.</t>
  </si>
  <si>
    <t>pciftci@istanbul.edu.tr</t>
  </si>
  <si>
    <t>Türetken, Pelin S. Çiftçi/AAQ-7467-2021; TURETKEN, Pelin Saliha CIFTCI/U-2516-2018</t>
  </si>
  <si>
    <t>Türetken, Pelin S. Çiftçi/0000-0002-4377-1628; TURETKEN, Pelin Saliha CIFTCI/0000-0002-4377-1628; Oksuzoglu, Turgay/0000-0003-2360-9444; Altug, Gulsen/0000-0003-3251-7699</t>
  </si>
  <si>
    <t>KU9JS</t>
  </si>
  <si>
    <t>WOS:000520041400001</t>
  </si>
  <si>
    <t>Microplastic concentration in the sediment of the Istanbul Strait (the Sea of Marmara, Turkiye)</t>
  </si>
  <si>
    <t>PurposeThis study examined the microplastic (MP) pollution in the sediment of the Istanbul Strait. We also wanted to draw attention to possible sources of MP pollution by identifying the polymer types. The Istanbul Strait divides Istanbul, which is a mega city with a population of approximately 20 million, into two; thus, domestic and industrial waste is concentrated in this region. It is also located on the route of approximately 45,000 ships annually. We evaluated the impact of these contaminants in sediment in terms of microplastics.Materials and methodsSediment samples were taken with the Van Veen grab (surface area samples of 0.1 m(2)) from 15 different stations in the Istanbul Strait in October 2020. MPs were extracted from sediment samples by density separation and classified according to their shape, size, colour and polymer types. Jasco NRS 3100 model Raman micro-spectrometers were used to identify the polymer structure of the MPs.Results and discussionThe lowest amount of MP pollution (144.4 +/- 77.9 MPs/kg of dry sediment) was detected at the Karakoy station and the highest amount (700 +/- 177.6 MPs/kg of dry sediment) at the Anadolufeneri station. The station with the highest amount of MP particles was shown to be the Anadolufeneri station located at the Black Sea exit of the Istanbul Strait. The predominant particle shape was shown to be fibre (97%), and the ratio of 0-1 mm particles was found to be 51.8%. Raman spectroscopy was used to identify the polymer structure of the MPs, the dominant polymer type being polyphenylene sulphide (PPS).ConclusionWe observed the negative effects of ship traffic, tourism, fisheries and dense populations in the Istanbul Strait in terms of MP pollution. Our findings show that the concentration is high even in regions such as Anadolu Hisari and Rumelifeneri where there is relatively little urbanization. On the contrary, the lowest concentration is in Karakoy, where ship traffic and touristic activities are intense. The results suggest that the current system influences accumulation.</t>
  </si>
  <si>
    <t>10.1007/s11368-023-03550-7</t>
  </si>
  <si>
    <t>Olguner, B; Mulayim, A; Gunduz, SK</t>
  </si>
  <si>
    <t>Olguner, Batuhan; Mulayim, Aysegul; Gunduz, Serda Kecel</t>
  </si>
  <si>
    <t>JOURNAL OF SOILS AND SEDIMENTS</t>
  </si>
  <si>
    <t>Bosphorus; Marine pollution; Marine sediment; MPs; Raman spectroscopy</t>
  </si>
  <si>
    <t>PLASTIC DEBRIS; MARINE LITTER; BALTIC SEA; BEACHES; ACCUMULATION; POLLUTION; BAY</t>
  </si>
  <si>
    <t>[Olguner, Batuhan] Istanbul Univ, Inst Grad Studies Sci, TR-34452 Istanbul, Turkiye; [Mulayim, Aysegul] Istanbul Univ, Fac Sci, Dept Biol, TR-34134 Istanbul, Turkiye; [Gunduz, Serda Kecel] Istanbul Univ, Fac Sci, Dept Phys, TR-34134 Istanbul, Turkiye</t>
  </si>
  <si>
    <t>Istanbul University; Istanbul University; Istanbul University</t>
  </si>
  <si>
    <t>Mulayim, A (corresponding author), Istanbul Univ, Fac Sci, Dept Biol, TR-34134 Istanbul, Turkiye.</t>
  </si>
  <si>
    <t>batuhanolger@gmail.com; aysegulm@istanbul.edu.tr; skecel@istanbul.edu.tr</t>
  </si>
  <si>
    <t>Kecel Gunduz, Serda/N-8432-2017</t>
  </si>
  <si>
    <t>Kecel Gunduz, Serda/0000-0003-0973-8223; Mulayim, Aysegul/0000-0001-9124-3195</t>
  </si>
  <si>
    <t>Istanbul University Department of Scientific Research Projects [FYL-2020 36426]</t>
  </si>
  <si>
    <t>This study was supported by the Istanbul University Department of Scientific Research Projects (grand number FYL-2020- 36426). We would also like to gratefully acknowledge OENAP 2423 for the Raman Spectroscopy analyses.</t>
  </si>
  <si>
    <t>1439-0108</t>
  </si>
  <si>
    <t>1614-7480</t>
  </si>
  <si>
    <t>J SOIL SEDIMENT</t>
  </si>
  <si>
    <t>J. Soils Sediments</t>
  </si>
  <si>
    <t>Environmental Sciences; Soil Science</t>
  </si>
  <si>
    <t>Environmental Sciences &amp; Ecology; Agriculture</t>
  </si>
  <si>
    <t>J5GP5</t>
  </si>
  <si>
    <t>WOS:000999842600001</t>
  </si>
  <si>
    <t>TOXIC EFFECTS OF ESTER BASED POLYMERS ON DAPHNIA MAGNA: A LABORATORY MICROCOSM STUDY</t>
  </si>
  <si>
    <t>This study aims to determine toxic effects of polyester-based polymers (polycarbonate (PC), polyethylene terephthalate (PET) and, polybutylene terephthalate (PBT)) depending on physiological change in life cycle of Daphnia magna Straus (1820) (Cladocera, Crustacea). As a result of acute toxicity test, it was observed that although the rates of immobilized/dead organisms were low, damage started occurring in organisms. According to the results of 72th, the median effective concentration (EC50) values of PC, PET and PBT were determined as 2.604 mg L-1, 4.694 mg L-1 and &gt;100 mg L-1, respectively. In consequence of chronic toxicity test, in the experiment set in which the water where daphnids were cultivated was used, it was observed that there was a high rate of deformation on daphnids which were exposed to ester-based polymers. The possible effect of polyester-based polymers on the daphnids deformation might be consequence of reaction between urea and ester groups of PC, PET, and PBT. Especially in the sets where microalgae existed and the natural conditions were simulated, it was determined that the toxicity response of daphnids varied in accordance with different microplastic types in terms of their chemical structure.</t>
  </si>
  <si>
    <t>10.26471/cjees/2022/017/198</t>
  </si>
  <si>
    <t>Sonmez, VZ; Ercan, N; Sivri, N</t>
  </si>
  <si>
    <t>Sonmez, Vildan Zulal; Ercan, Nevra; Sivri, Nuket</t>
  </si>
  <si>
    <t>CARPATHIAN JOURNAL OF EARTH AND ENVIRONMENTAL SCIENCES</t>
  </si>
  <si>
    <t>Microplastics; ester-based polymer; acute toxicity; chronic toxicity; Daphnia magna&amp;nbsp</t>
  </si>
  <si>
    <t>MICROPLASTIC INGESTION; MARINE; REPRODUCTION; SURVIVAL; FIBERS; FUTURE; GROWTH</t>
  </si>
  <si>
    <t>[Sonmez, Vildan Zulal; Sivri, Nuket] Istanbul Univ Cerrahpasa, Dept Environm Engn, TR-34320 Istanbul, Turkey; [Ercan, Nevra] Istanbul Univ Cerrahpasa, Dept Chem Engn, TR-34320 Istanbul, Turkey</t>
  </si>
  <si>
    <t>Sivri, N (corresponding author), Istanbul Univ Cerrahpasa, Dept Environm Engn, TR-34320 Istanbul, Turkey.</t>
  </si>
  <si>
    <t>zulal.sonmez@iuc.edu.tr; nevra.ercan@iuc.edu.tr; nuket@iuc.edu.tr</t>
  </si>
  <si>
    <t>Sivri, Nuket/AFM-4107-2022; Ercan, Nevra/C-7307-2019</t>
  </si>
  <si>
    <t>Sivri, Nuket/0000-0002-4269-5950; Ercan, Nevra/0000-0001-9927-0315</t>
  </si>
  <si>
    <t>Scientific Research Project Coordination Unit of Istanbul University-Cerrahpasa [BAP-2021-35585]</t>
  </si>
  <si>
    <t>Scientific Research Project Coordination Unit of Istanbul University-Cerrahpasa</t>
  </si>
  <si>
    <t>This study was only supported by the Scientific Research Project Coordination Unit of Istanbul University-Cerrahpasa, Project Number: BAP-2021-35585.</t>
  </si>
  <si>
    <t>Carpathian Assoc Environment and Earth Sciences</t>
  </si>
  <si>
    <t>Baia Mare</t>
  </si>
  <si>
    <t>Victoriei 47A, Baia Mare, ROMANIA</t>
  </si>
  <si>
    <t>1842-4090</t>
  </si>
  <si>
    <t>1844-489X</t>
  </si>
  <si>
    <t>CARPATH J EARTH ENV</t>
  </si>
  <si>
    <t>Carpath. J. Earth Environ. Sci.</t>
  </si>
  <si>
    <t>1M5NW</t>
  </si>
  <si>
    <t>WOS:000800016800002</t>
  </si>
  <si>
    <t>Microplastic removal by aerated grit chambers versus settling tanks of a municipal wastewater treatment plant</t>
  </si>
  <si>
    <t>This study investigates microplastic (MP) removal by flotation, and by settling units of a municipal wastewater treatment plant (WWTP) that consisted of coarse screens, fine screens, aerated grit chambers (AGCs), and the conventional activated sludge (CAS) system. AGCs operate with rigorous mixing and short hydraulic residence times (HRT) that cause AGCs to remove MPs moderately, while settling tanks operate with long HRTs and steady flow conditions that favor sedimentation of MPs. MP characteristics such as flat shape (e.g., films), large size (1-5 mm), and low density support MP removal by flotation, while MPs with large 3D structures (1-5 mm) and high material density settle quickly. As the highest rates of MP removal by relevant units, AGCs removed 59% of influent concentration of large size films (1-5 mm), while settling tanks removed around 90% of the influent concentration of fragments. The observed MP removal rates by the WWTP followed the order of fragments &gt; films &gt; fibers as 90% &gt; 85% &gt; 70%, respectively. For improvement of MP removal by WWTPs, addition of gravity-based settling units, installation of inclined-plate and/or tube-settlers into existing settling tanks, and use of coagulants in settling process are among the feasible options.</t>
  </si>
  <si>
    <t>10.1016/j.jwpe.2020.101604</t>
  </si>
  <si>
    <t>Bilgin, M; Yurtsever, M; Karadagli, F</t>
  </si>
  <si>
    <t>Bilgin, Murat; Yurtsever, Meral; Karadagli, Fatih</t>
  </si>
  <si>
    <t>JOURNAL OF WATER PROCESS ENGINEERING</t>
  </si>
  <si>
    <t>Wastewater; microplastics; removal; flotation; settling</t>
  </si>
  <si>
    <t>ACTIVATED-SLUDGE PROCESS; MARINE-ENVIRONMENT; FATE; PARTICLES; FIBERS; IDENTIFICATION; TRANSPORT; POLLUTION; GLITTERS; IMPACTS</t>
  </si>
  <si>
    <t>[Bilgin, Murat; Yurtsever, Meral; Karadagli, Fatih] Sakarya Univ, Sch Engn, Dept Environm Engn, TR-54187 Esentepe, Sakarya, Turkey; [Karadagli, Fatih] BIMAS RC, Biomed Magnet &amp; Semiconduct Mat Res Ctr, Sakarya, Turkey</t>
  </si>
  <si>
    <t>Karadagli, F (corresponding author), Sakarya Univ, Sch Engn, Dept Environm Engn, TR-54187 Esentepe, Sakarya, Turkey.;Karadagli, F (corresponding author), BIMAS RC, Biomed Magnet &amp; Semiconduct Mat Res Ctr, Sakarya, Turkey.</t>
  </si>
  <si>
    <t>fkaradagli@sakarya.edu.tr</t>
  </si>
  <si>
    <t>Yurtsever, Meral/0000-0002-7965-1919; Karadagli, Fatih/0000-0003-3134-3519</t>
  </si>
  <si>
    <t>Scientific and Technological Research Council of Turkey [115Y303]</t>
  </si>
  <si>
    <t>Scientific and Technological Research Council of Turkey(Turkiye Bilimsel ve Teknolojik Arastirma Kurumu (TUBITAK))</t>
  </si>
  <si>
    <t>This work was financially supported by The Scientific and Technological Research Council of Turkey under Grant Number: 115Y303.</t>
  </si>
  <si>
    <t>2214-7144</t>
  </si>
  <si>
    <t>J WATER PROCESS ENG</t>
  </si>
  <si>
    <t>J. Water Process. Eng.</t>
  </si>
  <si>
    <t>Engineering, Environmental; Engineering, Chemical; Water Resources</t>
  </si>
  <si>
    <t>Engineering; Water Resources</t>
  </si>
  <si>
    <t>PE1QO</t>
  </si>
  <si>
    <t>WOS:000598145900004</t>
  </si>
  <si>
    <t>Investigation of microplastics in edible wild mussels from Izmir Bay (Aegean Sea, Western Turkey): A risk assessment for the consumers</t>
  </si>
  <si>
    <t>The presence of microplastics (MPs) was determined in Mediterranean mussel (Mytilus galloprovincialis Lamarck, 1819) and grooved carpet shell (Ruditapes decussatus Linnaeus, 1758) together with water samples from in Izmir Bay (Aegean Sea, Western Turkey). A total of 895 MPs from Kars,iyaka (Station 1), and 787 MPs from Gulbahce (Station 2) were detected in 60 mussel samples, giving a total content of 1682 MPs. In water samples, a total of 545 MPs were detected in samples from Station 1 and 1287 MPs in samples from Station 2 (1832 MPs total). The amount of MPs in water samples was less in Station 1 than in Station 2. This difference is probably caused by cigli Wastewater Treatment Plant (WWTP) located near Station 1. Public health risk assessment on the consumption of the species M. galloprovincialis revealed that 70.82 items person-1 year-1 MPs through this species could enter consumers' digestive systems.</t>
  </si>
  <si>
    <t>10.1016/j.marpolbul.2021.112733</t>
  </si>
  <si>
    <t>Yozukmaz, A</t>
  </si>
  <si>
    <t>Yozukmaz, Aykut</t>
  </si>
  <si>
    <t>Microplastic pollution; M; galloprovincialis; R; decussatus; Wastewater Treatment Plant (WWTP); Public health</t>
  </si>
  <si>
    <t>CLAM TAPES-DECUSSATUS; WASTE-WATER; MYTILUS-EDULIS; HOMA LAGOON; MARINE-ENVIRONMENT; COASTAL WATERS; SURFACE WATERS; PLASTIC DEBRIS; POLLUTION; GALLOPROVINCIALIS</t>
  </si>
  <si>
    <t>[Yozukmaz, Aykut] Mugla Sitki Kocman Univ, Fac Fisheries, Dept Aquat Sci, Mugla, Turkey</t>
  </si>
  <si>
    <t>Mugla Sitki Kocman University</t>
  </si>
  <si>
    <t>Mugla Sitki Kocman University Scientific Research Projects Office [19/088/02/1/5]</t>
  </si>
  <si>
    <t>Mugla Sitki Kocman University Scientific Research Projects Office(Mugla Sitki Kocman University)</t>
  </si>
  <si>
    <t>The author appreciates Dr. Daniela Giannetto (Mugla Sitki Kocman University, Mugla, Turkey) and Idris Sener (PhD candidate) for their helpful comments. I also thank Dr. Nisan Yozukmaz (Pamukkale University, Denizli, Turkey) for her contribution to editing the manuscript. This study was supported by Mugla Sitki Kocman University Scientific Research Projects Office (Project No.: 19/088/02/1/5).</t>
  </si>
  <si>
    <t>UZ1DJ</t>
  </si>
  <si>
    <t>WOS:000701952200002</t>
  </si>
  <si>
    <t>Assessment of Microplastic Pollution in a Crater Lake at High Altitude: a Case Study in an Urban Crater Lake in Erzurum, Turkey</t>
  </si>
  <si>
    <t>Microplastics are materials which remain without decay in nature for many years. Thus, they have an essential role in environmental pollution. Microplastics (MPs) can be moved long distances by wind and rain because they can be degraded into small pieces due to oxidation and deterioration of the polymer forms when exposed to ultraviolet radiation like sunlight. Moreover, MPs affect human health badly via the food chain. The study was carried out in a crater lake at 2380 m altitude in Erzurum, Turkey. Samples from the lake were analyzed using micro-Raman and SEM devices. In a great number of samples analyzed with micro-Raman, MP materials were identified which are much smaller than encountered in the literature. It was concluded that the identified MPs are polyethylenes and polypropylenes by comparing with Raman spectra in the literature. Further, it was assumed that the pieces with different shapes and 8-15 mu m sizes are MPs decayed due to ultraviolet radiation when SEM images of the samples were examined.</t>
  </si>
  <si>
    <t>10.1007/s11270-020-04653-4</t>
  </si>
  <si>
    <t>Comakh, E; Bingol, MS; Bilgili, A</t>
  </si>
  <si>
    <t>Comakh, Emre; Bingol, Mehmet Semih; Bilgili, Adnan</t>
  </si>
  <si>
    <t>Microplastics; Micro-Raman spectroscopy; Crater lake; Environmental pollution; Plastics</t>
  </si>
  <si>
    <t>MEDITERRANEAN SEA; SURFACE SEDIMENTS; PARTICLES; ABUNDANCE; REMOTE; CHINA; WATER; IDENTIFICATION; ACCUMULATION; ENVIRONMENTS</t>
  </si>
  <si>
    <t>[Comakh, Emre; Bingol, Mehmet Semih; Bilgili, Adnan] Ataturk Univ, Eastern Anatolia High Technol Applicat &amp; Res Ctr, TR-25240 Erzurum, Turkey</t>
  </si>
  <si>
    <t>Ataturk University</t>
  </si>
  <si>
    <t>Bingol, MS (corresponding author), Ataturk Univ, Eastern Anatolia High Technol Applicat &amp; Res Ctr, TR-25240 Erzurum, Turkey.</t>
  </si>
  <si>
    <t>semih.bingol@atauni.edu.tr</t>
  </si>
  <si>
    <t>Çomaklı, Emre/GQZ-6075-2022; Bingöl, Mehmet Semih/CAF-6302-2022; B, Adnan/HJH-2265-2023</t>
  </si>
  <si>
    <t>Çomaklı, Emre/0000-0001-8477-7076; B, Adnan/0000-0002-2151-3521; Bingol, Mehmet Semih/0000-0002-4616-7143</t>
  </si>
  <si>
    <t>SPRINGER INTERNATIONAL PUBLISHING AG</t>
  </si>
  <si>
    <t>MAY 28</t>
  </si>
  <si>
    <t>LU8SI</t>
  </si>
  <si>
    <t>WOS:000538018300001</t>
  </si>
  <si>
    <t>Microplastic-induced oxidative stress response in turbot and potential intake by humans</t>
  </si>
  <si>
    <t>Microplastic (MP) pollution has become a health concern subject in recent years. Althoughann increasing number of studies about the ingestion of microplastics by fish, research on the oxidative stress response to MPs in natural environments is quite limited. In this study, the identification and characterization of MPs in gill (G), muscle tissues (M), and gastrointestinal tract (GI) of turbot (Scophthalmus maximus) were evaluated. Oxidative damage of MPs on the brain (B), liver (L), gill (G), and muscle (M) tissues as well as their effect on superoxide dismutase (SOD), catalase (CAT), glutathione peroxidase (GPx), paraoxonase (PON), arylesterase (AR) myeloperoxidase (MPO), and malondialdehyde (MDA) biomarkers were evaluated. The potential transmission of MPs from muscle tissues to humans was examined. Results showed that gills contain the highest amounts of MPs, ethylene propylene is the most dominant polymer type, black and blue are the most common MP color, fiber is the most common shape, and 50-200 mu m is the most common MP size. Results showed that MPs cause oxidative stress of tissues with inhibiting effect on enzyme activities and promoting impact on lipid peroxidation. The oxidative damage mostly affected the liver (detoxification organ) followed by gill tissue. The intake of MPS in the European Union was estimated by EFSA as 119 items/year, while in Turkey it is 47.88 items/year. This study shows that more research is needed in terms of ecosystem health and food chain safety. The risk assessment of MPs in living organisms and environmental matrices including food safety and human health should be considered a public health issue.</t>
  </si>
  <si>
    <t>10.1080/01480545.2023.2168690</t>
  </si>
  <si>
    <t>Kokturk, M; Ozgeris, FB; Atamanalp, M; Ucar, A; Ozdemir, S; Parlak, V; Duyar, HA; Alak, G</t>
  </si>
  <si>
    <t>Kokturk, Mine; Ozgeris, Fatma Betuel; Atamanalp, Muhammed; Ucar, Arzu; Ozdemir, Suleyman; Parlak, Veysel; Duyar, Hunkar Avni; Alak, Gonca</t>
  </si>
  <si>
    <t>DRUG AND CHEMICAL TOXICOLOGY</t>
  </si>
  <si>
    <t>Demersal fish; microplastics; oxidative damage; biochemical changes; Toxicity; human health</t>
  </si>
  <si>
    <t>COMMERCIAL FISH; RAINBOW-TROUT; INGESTION; EXTRACTION; TOXICITY; PROTOCOL; TISSUES; SEAFOOD; LIVER</t>
  </si>
  <si>
    <t>[Kokturk, Mine] Igdir Univ, Fac Appl Sci, Dept Organ Agr Management, Igdir, Turkiye; [Ozgeris, Fatma Betuel] Ataturk Univ, Fac Hlth Sci, Dept Nutr &amp; Dietet, Erzurum, Turkiye; [Atamanalp, Muhammed; Ucar, Arzu; Parlak, Veysel] Ataturk Univ, Fac Fisheries, Dept Aquaculture, Erzurum, Turkiye; [Ozdemir, Suleyman] Sinop Univ, Fac Fisheries, Dept Fisheries, Sinop, Turkiye; [Duyar, Hunkar Avni] Sinop Univ, Fac Fisheries, Dept Seafood Proc Technol, Sinop, Turkiye; [Alak, Gonca] Ataturk Univ, Fac Fisheries, Dept Seafood Proc Technol, Erzurum, Turkiye; [Alak, Gonca] Ataturk Univ, Fac Fisheries, Dept Seafood Proc Technol, TR-25030 Erzurum, Turkiye</t>
  </si>
  <si>
    <t>Igdir University; Ataturk University; Ataturk University; Sinop University; Sinop University; Ataturk University; Ataturk University</t>
  </si>
  <si>
    <t>Alak, G (corresponding author), Ataturk Univ, Fac Fisheries, Dept Seafood Proc Technol, TR-25030 Erzurum, Turkiye.</t>
  </si>
  <si>
    <t>ALAK, Gonca/HZK-0144-2023; Atamanalp, Muhammed/AAG-2950-2020</t>
  </si>
  <si>
    <t>0148-0545</t>
  </si>
  <si>
    <t>1525-6014</t>
  </si>
  <si>
    <t>DRUG CHEM TOXICOL</t>
  </si>
  <si>
    <t>Drug Chem. Toxicol.</t>
  </si>
  <si>
    <t>2023 JAN 18</t>
  </si>
  <si>
    <t>Chemistry, Multidisciplinary; Pharmacology &amp; Pharmacy; Toxicology</t>
  </si>
  <si>
    <t>Chemistry; Pharmacology &amp; Pharmacy; Toxicology</t>
  </si>
  <si>
    <t>7W7PH</t>
  </si>
  <si>
    <t>WOS:000913700600001</t>
  </si>
  <si>
    <t>Detection and public health risk assessment of microplastics in disposable (PET) bottled water produced and sold locally in the Aegean Region</t>
  </si>
  <si>
    <t>Intensive use of plastic has led to the accumulation of plastics in all ecosystems and inevitable environmental pollution. Plastic wastes have undergone structural degradation with the effect of environmental factors and have been disintegrated into nano and microparticles; thus, might accumulate in living organisms and reach unpredictable levels in the food chain. In recent years, the impacts of these particles called microplastics (MP's) have become one of the most important issues in the scientific world. The aim of this study is to evaluate the possible presence of MP's in drinking water, that represents the most important nutrition element for human beings. For this purpose, samples of 6 different brands of disposable (PET) bottles produced and sold locally were examined. A total of 36 samples in bottles with 2 different volumes were analyzed in accordance with international standards and the results were evaluated. As a result of the study, the presence of MP's was detected in all samples analyzed. A total of 207 MP's were found in 36 samples. As a result of the analysis, a mean of 7.35 +/- 9.66 MP L-1 particles was detected. It was determined that the most dominant type in terms of shape was fiber (91%), the most dominant type in terms of color was blue (57%) and the most dominant type in terms of size was 0.1-1 mm (71%). When Estimated Daily Intake (EDI) rates were calculated for public health risk assessment, it was determined that the most affected group is the 3-6 age group (EDI (avg) = 0.42). The importance of making recycling more widespread, raising awareness of consumers and making the necessary legal regulations on the issue was emphasized in order to reduce the problem at its source.</t>
  </si>
  <si>
    <t>10.12714/egejfas.39.4.02</t>
  </si>
  <si>
    <t>Plastic; microplastic; environmental pollution; public health</t>
  </si>
  <si>
    <t>POLLUTION; IDENTIFICATION; PARTICLES; MUSSELS; SEA</t>
  </si>
  <si>
    <t>[Yozukmaz, Aykut] Mugla Sitki Kocman Univ, Fac Fisheries, TR-48000 Kotekli, Mugla, Turkey</t>
  </si>
  <si>
    <t>Yozukmaz, A (corresponding author), Mugla Sitki Kocman Univ, Fac Fisheries, TR-48000 Kotekli, Mugla, Turkey.</t>
  </si>
  <si>
    <t>YOZUKMAZ, Aykut/V-3555-2017</t>
  </si>
  <si>
    <t>YOZUKMAZ, Aykut/0000-0003-2575-3044</t>
  </si>
  <si>
    <t>8A7ZY</t>
  </si>
  <si>
    <t>WOS:000916454500002</t>
  </si>
  <si>
    <t>Virgin microplastics are not causing imminent harm to fish after dietary exposure</t>
  </si>
  <si>
    <t>Among aquatic organisms, fish are particularly susceptible to ingesting microplastic particles due to their attractive coloration, buoyancy, and resemblance to food. However, in previous experimental setups, fish were usually exposed to unrealistically high concentrations of microplastics, or the microplastics were deliberately contaminated with persistent organic chemicals; also, in many experiments, the fish were exposed only during the larval stages. The present study investigated the effects of virgin microplastics in gilt-head seabream (Sparus aurata) after 45 days' exposure at 0.1 g kg(-1) bodyweight day(-1) to 6 common types of microplastics. The overall growth, biochemical analyses of the blood, histopathology, and the potential of the microplastics to accumulate in gastrointestinal organs or translocate to the liver and muscles were monitored and recorded. The results revealed that ingestion of virgin microplastics does not cause imminent harm to the adult gilt-head seabream during 45 days of exposure and an additional 30 days of depuration. The retention of virgin microplastics in the gastrointestinal tract was fairly low, indicating effective elimination of microplastics from the body of the fish and no significant accumulation after successive meals. Therefore, both the short- and the long-term retention potential of microplastics in the gastrointestinal tract of fish is close to zero. However, some large particles remained trapped in the liver, and 5.3% of all the livers analyzed contained at least one microplastic particle. In conclusion, the dietary exposure of S. aurata to 6 common types of virgin microplastics did not induce stress, alter the growth rate, cause pathology, or cause the microplastics to accumulate in the gastrointestinal tract of the fish.</t>
  </si>
  <si>
    <t>10.1016/j.marpolbul.2018.03.016</t>
  </si>
  <si>
    <t>Jovanovic, B; Gokdag, K; Guven, O; Emre, Y; Whitley, EM; Kideys, AE</t>
  </si>
  <si>
    <t>Jovanovic, Boris; Gokdag, Kerem; Guven, Olgac; Emre, Yilmaz; Whitley, Elizabeth M.; Kideys, Ahmet Erkan</t>
  </si>
  <si>
    <t>Microplastics; Marine litter; Fish; Histopathology; Diet; Toxicity</t>
  </si>
  <si>
    <t>BASS DICENTRARCHUS-LABRAX; SPARUS-AURATA; GILTHEAD SEABREAM; SEA; PARTICLES; L.; MICROBEADS; ZEBRAFISH; INGESTION</t>
  </si>
  <si>
    <t>[Jovanovic, Boris] Iowa State Univ, Dept Nat Resource Ecol &amp; Management, 107 Sci 2,2310 Pammel Dr, Ames, IA 50011 USA; [Gokdag, Kerem; Guven, Olgac; Kideys, Ahmet Erkan] Middle East Tech Univ, Inst Marine Sci, Erdemli, Mersin, Turkey; [Emre, Yilmaz] Akdeniz Univ, Fac Sci, Antalya, Turkey; [Whitley, Elizabeth M.] Pathogenesis LLC, Gainesville, FL USA</t>
  </si>
  <si>
    <t>Iowa State University; Middle East Technical University; Akdeniz University</t>
  </si>
  <si>
    <t>Jovanovic, B (corresponding author), Iowa State Univ, Dept Nat Resource Ecol &amp; Management, 107 Sci 2,2310 Pammel Dr, Ames, IA 50011 USA.</t>
  </si>
  <si>
    <t>GÜVEN, Olgaç/D-2399-2009; KIDEYS, Ahmet E/Q-1824-2015; KIDEYS, Ahmet Erkan/HZK-4698-2023; GÖKDAĞ, Kerem/GXF-3890-2022</t>
  </si>
  <si>
    <t>GÜVEN, Olgaç/0000-0002-0920-673X; GÖKDAĞ, Kerem/0000-0002-3800-0482; Jovanovic, Boris/0000-0003-3970-805X; KIDEYS, AHMET ERKAN/0000-0002-1113-2434</t>
  </si>
  <si>
    <t>Scientific and Technological Research Council of Turkey (TUBITAK) [CAYDAG-114Y244, CAYDAG-115Y627]</t>
  </si>
  <si>
    <t>This research was supported by Scientific and Technological Research Council of Turkey (TUBITAK) grants; CAYDAG-114Y244 (Estimating the quantity and composition of microplastics in the Mediterranean coast of Turkey; the potential for bioaccumulation in seafood) and CAYDAG-115Y627 (Impacts of Microplastic Particles and Bisphenol A as a Chemical Additive in Zooplankton Species of Mersin Bay). We wish to extend our gratitude to Mehmet Ozalp of IMS-METU and Derya Guroy of Yalova University for the technical help with fish feed preparation and sample processing.</t>
  </si>
  <si>
    <t>GK5NE</t>
  </si>
  <si>
    <t>WOS:000436221000015</t>
  </si>
  <si>
    <t>A preliminary study on the distribution and morphology of microplastics in the coastal areas of Istanbul, the metropolitan city of Turkey: The effect of location differences</t>
  </si>
  <si>
    <t>Microplastics (MP) pollution has emerged in the last 10 years as an interesting topic of research worldwide. However, microplastic pollution is a new multidisciplinary subject that encompasses many unknowns and enters different fields of science. Research carried out in Turkey on the subject is quite limited and remained on a small scale covering only several stations most of the time.This paper aims to study microplastics distribution, type, and color in 43 stations within the Marmara Sea. The novelty of this work is due to the selection of the stations which cover marine (MRN), pier (PIER), stream (STR), sea discharge (SD), and deep-sea discharge (DSD) stations. The effect of the seawater physicochemical characteristics on microplastics distribution was statistically studied using the Pearson's product momentum correlation coefficient. The highest microplastics abundance was for pier stations (3497.02 particle/km2) and the lowest was for marine stations (276.1857 particle/km2).</t>
  </si>
  <si>
    <t>10.1016/j.jclepro.2021.127320</t>
  </si>
  <si>
    <t>Erkan, HS; Turan, NB; Albay, M; Engin, GO</t>
  </si>
  <si>
    <t>Erkan, Hanife Sari; Turan, Nouha Bakaraki; Albay, Meric; Engin, Guleda Onkal</t>
  </si>
  <si>
    <t>Microplastics; Turkey; Sea discharge; Marine; Pier; Stream; Physicochemical characteristics</t>
  </si>
  <si>
    <t>WATER TREATMENT PLANTS; WASTE-WATER; MEDITERRANEAN SEA; LEVANTINE COAST; SURFACE WATERS; PLASTIC DEBRIS; MU-M; ABUNDANCE; RIVER; FATE</t>
  </si>
  <si>
    <t>[Erkan, Hanife Sari; Turan, Nouha Bakaraki; Engin, Guleda Onkal] Yildiz Tech Univ, Civil Engn Fac, Environm Engn Dept, TR-34220 Istanbul, Turkey; [Albay, Meric] Istanbul Univ, Fac Aquat Sci, Dept Freshwater Resources &amp; Management, Istanbul, Turkey</t>
  </si>
  <si>
    <t>Yildiz Technical University; Istanbul University</t>
  </si>
  <si>
    <t>JUL 20</t>
  </si>
  <si>
    <t>SQ3IC</t>
  </si>
  <si>
    <t>WOS:000660248100005</t>
  </si>
  <si>
    <t>Microplastic emission trends in Turkish primary and secondary municipal wastewater treatment plant effluents discharged into the Sea of Marmara and Black Sea</t>
  </si>
  <si>
    <t>Wastewater Treatment Plants (WWTPs) are recognized as one of the primary sources of microplastics, a class of contaminants that has lately gained attention. The quantity of MP that WWTPs release into the environment depends on several factors, including the treatment type, season, and population serviced. MP abundance and characterization were explored in 15 WWTP effluent waters, 9 discharged to the Black Sea from Turkiye and 6 to the Marmara Sea, with varying population densities and treatment methods. The mean MP abundance in primary treatment WWTPs (76.25 &amp; PLUSMN; 49.20 MP L-1) was found to be substantially greater than that in secondary treat-ment WWTPs (20.57 &amp; PLUSMN; 21.56 MP L-1) (p&lt;0.05). MPs in WWTP effluent waters showed significant seasonal and spatial differences (Two Way ANOVA, Tukey, p&lt;0.05). However, no positive correlation was detected between the population serviced and MP abundance in effluent waters. While the fiber was the dominant shape (49.5%) among MPs in effluent waters, &amp; AP;80% of the length was &lt;1000 &amp; mu;m. MPs are classified into polymer types as follows: polyethylene terephthalate (34.9%) &gt; polypropylene (32.4%) &gt; polyethylene (19.9%) &gt; polyamide (11%) &gt; polystyrene (1.2%) &gt; polyvinyl chloride (0.6%). With effluent waters from the WWTPs tested, we calculated that 1.24x1010 daily MPs are discharged into the Black Sea while 4.95x1010 MPs are into the Marmara Sea, for a combined annual discharge of 2.26x1013 MPs highlighting that WWTPs are key contributors of MP in Turkish coastal waters.</t>
  </si>
  <si>
    <t>10.1016/j.envres.2023.116188</t>
  </si>
  <si>
    <t>Akdemir, T; Gedik, K</t>
  </si>
  <si>
    <t>Akdemir, Tolga; Gedik, Kenan</t>
  </si>
  <si>
    <t>WWTP; Microplastic; Source; Waste; Pollution</t>
  </si>
  <si>
    <t>MARINE-ENVIRONMENT; IDENTIFICATION; QUANTIFICATION; REMOVAL; POLLUTION; FIBERS</t>
  </si>
  <si>
    <t>[Akdemir, Tolga; Gedik, Kenan] Recep Tayyip Erdogan Univ, Vocat Sch Tech Sci, TR-53100 Rize, Turkiye; [Gedik, Kenan] Tekn Bilimler Meslek Yuksekokulu, Recep Tayyip Erdog Univ, TR-53100 Rize, Turkiye</t>
  </si>
  <si>
    <t>Gedik, K (corresponding author), Tekn Bilimler Meslek Yuksekokulu, Recep Tayyip Erdog Univ, TR-53100 Rize, Turkiye.</t>
  </si>
  <si>
    <t>Water and Sewage Administrations of Rize Municipality; Water and Sewage Administrations of Trabzon Municipality; Water and Sewage Administrations of Samsun Municipality; Water and Sewage Administrations of Gerze Municipality; Water and Sewage Administrations of Cide Municipality; Water and Sewage Administrations of Zonguldak Municipality; Water and Sewage Administrations of Eregli Muncipality; Water and Sewage Administrations of Sakarya Municipality; Water and Sewage Administrations of Yalova Municipality; Water and Sewage Administrations of Bursa Municipality; Water and Sewage Administrations of Tekirdag Municipality; Water and Sewage Administrations of Istanbul Municipality; Research Funds of the Recep Tayyip Erdogan University [FBA -2021-1269]</t>
  </si>
  <si>
    <t>Water and Sewage Administrations of Rize Municipality; Water and Sewage Administrations of Trabzon Municipality; Water and Sewage Administrations of Samsun Municipality; Water and Sewage Administrations of Gerze Municipality; Water and Sewage Administrations of Cide Municipality; Water and Sewage Administrations of Zonguldak Municipality; Water and Sewage Administrations of Eregli Muncipality; Water and Sewage Administrations of Sakarya Municipality; Water and Sewage Administrations of Yalova Municipality; Water and Sewage Administrations of Bursa Municipality; Water and Sewage Administrations of Tekirdag Municipality; Water and Sewage Administrations of Istanbul Municipality; Research Funds of the Recep Tayyip Erdogan University</t>
  </si>
  <si>
    <t>This research did not receive any specific grant from funding agencies in the public, commercial, or not-for-profit sectors. We thank Water and Sewage Administrations of Rize, Trabzon, Samsun, Gerze, Cide, Zonguldak, Eregli, Sakarya, Yalova, Bursa, Tekirdag &amp; nbsp;and Istanbul Municipalities for their support. Samples were provided by FBA -2021-1269 project supported by Research Funds of the Recep Tayyip Erdogan University. We would like to thank our student Berkay Beyaz for his help in sampling and analyses. We also are thankful to two anonymous reviewers for their valuable and critical edits.</t>
  </si>
  <si>
    <t>AUG 15</t>
  </si>
  <si>
    <t>K0GD2</t>
  </si>
  <si>
    <t>WOS:001013309700001</t>
  </si>
  <si>
    <t>Microplastic contamination in surface waters of the Kucukcekmece Lagoon, Marmara Sea (Turkey): Sources and areal distribution</t>
  </si>
  <si>
    <t>The distribution of freshwater and marine microplastics (MPs) varies due to the difference in fresh and seawater densities and MP sources. This study aims to investigate the abundance of MPs and their possible sources in surface waters of different ecosystems, such as sea, lagoon, and lake. We classified MPs in terms of their color and type and established the relationship between the MPs in surface waters with different characteristics. The mean MP abundance (33 particles L-1) detected herein was higher than that in the previously conducted studies. Fragment particles (37.95%) were determined to be the dominant MP type, and the predominant MP color was blue (75.28%). As for the seasonal MP distribution, its highest content (48.03 particles L-1) was observed in autumn, unlike that reported by other studies. The findings of this study reveal the effects of wastewater treatment plant (WWTP) discharge and current flow on the MP distribution in the study area. This study aims to provide representative data on the MP abundance and distribution, as well as MP-affecting parameters for similar aquatic areas in other parts of the world. (C) 2020 Elsevier Ltd. All rights reserved.</t>
  </si>
  <si>
    <t>10.1016/j.envpol.2020.115801</t>
  </si>
  <si>
    <t>Cullu, AF; Sonmez, VZ; Sivri, N</t>
  </si>
  <si>
    <t>Cullu, Ahmet Faruk; Sonmez, Vildan Zulal; Sivri, Nuket</t>
  </si>
  <si>
    <t>Microplastics; Surface water; Lagoon; Seasonal distribution; Color; Type</t>
  </si>
  <si>
    <t>PLASTIC DEBRIS; 1ST OBSERVATIONS; COASTAL AREAS; POLLUTION; BEACHES; SEDIMENTS; ESTUARY; LAKE; ABUNDANCE; PELLETS</t>
  </si>
  <si>
    <t>[Cullu, Ahmet Faruk; Sonmez, Vildan Zulal; Sivri, Nuket] Istanbul Univ Cerrahpasa, Dept Environm Engn, Istanbul, Turkey; [Sonmez, Vildan Zulal] Duzce Univ, Dept Environm Engn, Duzce, Turkey</t>
  </si>
  <si>
    <t>Istanbul University - Cerrahpasa; Duzce University</t>
  </si>
  <si>
    <t>Sonmez, VZ (corresponding author), Istanbul Univ Cerrahpasa, Dept Environm Engn, Istanbul, Turkey.</t>
  </si>
  <si>
    <t>ahmetfarukcullu@gmail.com; zulal.kiremitci@istanbul.edu.tr; nuket@istanbul.edu.tr</t>
  </si>
  <si>
    <t>Sivri, Nuket/AFM-4107-2022</t>
  </si>
  <si>
    <t>Sivri, Nuket/0000-0002-4269-5950</t>
  </si>
  <si>
    <t>Scientific Research Project Coordination Unit of Istanbul University-Cerrahpasa [FBA-2018-32551]</t>
  </si>
  <si>
    <t>This study was supported by the Scientific Research Project Coordination Unit of Istanbul University-Cerrahpasa, Project Number: FBA-2018-32551. Special thanks to the IUCEMIK Group and Aysenur Basmaci for their assistance with the field work.</t>
  </si>
  <si>
    <t>PH7AJ</t>
  </si>
  <si>
    <t>WOS:000600560400061</t>
  </si>
  <si>
    <t>Evaluation of microplastics removal efficiency at a wastewater treatment plant discharging to the Sea of Marmara</t>
  </si>
  <si>
    <t>Levels, composition and fate of microplastics (MPs) were investigated along different compartments of a secondary wastewater treatment plant (WWTP) with nutrient removal on the northern Sea of Marmara coast (Istanbul, Turkey). When all samples were combined, fibers were found to be the most dominant particles, followed by hard fragments. 500-1000 mu m and 1000-2000 mu m were the most common size ranges for wastewater and sludge, respectively. Rate of removal differed for sizes and shapes of the particles combined. Hard fragments of &lt;500 mu m and fibers of size ranges 250-500 mu m and 1000-2000 mu m were more successfully removed within the WWTP. Size averages increased throughout the WWTP units. 84.6-93.0% removal was achieved for grab and 3hr composite samples. Despite the high removal rates of the WWTP, 2,934 x 106 microplastic particles/d were released in the effluent to the Sea of Marmara. Our results show that the Ambarli WWTP considerably contributes to microplastics contamination in the Sea of Marmara since the plant has a high operating capacity.</t>
  </si>
  <si>
    <t>10.1016/j.envpol.2021.117862</t>
  </si>
  <si>
    <t>Vardar, S; Onay, TT; Demirel, B; Kideys, AE</t>
  </si>
  <si>
    <t>Vardar, Suat; Onay, Turgut T.; Demirel, Burak; Kideys, Ahmet E.</t>
  </si>
  <si>
    <t>Microplastics; Wastewater treatment; Removal characteristics; Sewage sludge; Plastic pollution</t>
  </si>
  <si>
    <t>ACTIVATED-SLUDGE PROCESS; FRESH-WATER; FATE; IDENTIFICATION; ACCUMULATION; POLLUTION; FRAGMENTATION; ENVIRONMENT; RELEASE; FIBERS</t>
  </si>
  <si>
    <t>[Vardar, Suat; Onay, Turgut T.; Demirel, Burak] Bogazici Univ, Inst Environm Sci, Hisar Campus,Hisarustu Nispetiye Caddesi, TR-34470 Istanbul, Turkey; [Kideys, Ahmet E.] Middle East Tech Univ, Inst Marine Sci, Milli Egemenlik Caddesi, TR-33780 Erdemli, Mersin, Turkey</t>
  </si>
  <si>
    <t>Bogazici University; Middle East Technical University</t>
  </si>
  <si>
    <t>Onay, TT (corresponding author), Bogazici Univ, Inst Environm Sci, Hisar Campus,Hisarustu Nispetiye Caddesi, TR-34470 Istanbul, Turkey.</t>
  </si>
  <si>
    <t>onayturg@boun.edu.tr</t>
  </si>
  <si>
    <t>KIDEYS, Ahmet Erkan/HZK-4698-2023; Vardar, Suat/ACO-0118-2022; Vardar, Suat/GQZ-6821-2022</t>
  </si>
  <si>
    <t>Vardar, Suat/0000-0002-2121-6690; Vardar, Suat/0000-0002-2121-6690; onay, Turgut/0000-0002-1645-4512; KIDEYS, AHMET ERKAN/0000-0002-1113-2434</t>
  </si>
  <si>
    <t>Bogazici University Research Fund [15801]</t>
  </si>
  <si>
    <t>This study was supported by Bogazici University Research Fund Grant Number 15801. Thanks to Gulsah Can and Ertan Kes for their support with extraction of particles.</t>
  </si>
  <si>
    <t>AUG 2021</t>
  </si>
  <si>
    <t>UR9ME</t>
  </si>
  <si>
    <t>WOS:000697063100007</t>
  </si>
  <si>
    <t>The combined effects of polyethylene microplastics and benzoanthracene on Manila clam Ruditapes philippinarum</t>
  </si>
  <si>
    <t>Microplastic (MP) toxicity has recently been explored in various marine species. Along with the toxicity of plastics polymer itself, additional substances or pollutants that are absorbed onto it may also be harmful. In the present study, we investigated the combined impacts of polyethylene microplastics (PE MPs) and an organic pollutant (Benzo(a)anthracene, BaA) on Manila clam Ruditapes philippinarum during a one-week exposure. Two PE MPs concentrations (26 mu g L-1 and 260 mu g L-1) and one BaA concentration (3 mu g L-1) were tested. The clams were exposed to BaA and PE MPs either alone or in combination. BaA and PE MPs were incubated before the combined exposure. The biological effects of PE MPs and BaA on the clams were evaluated by considering several assays such as feeding rate, anti-oxidant enzyme activities, and the expression levels of stress-related genes. The feeding rate significantly decreased in individual PE MPs and individual BaA groups while it remained un-changed in combined groups. Superoxide dismutase (SOD) was the most affected among the biochemical pa-rameters. Malondialdehyde (MDA), and glutathione peroxidase (GPx) activities were slightly affected, whereas no changes were observed in glutathione s-transferase (GST) activities. CYP1A1, CYP3A4, and HSP70 gene ex-pressions displayed slightly significant changes. Considering all stressor groups, high PE MPs exposure (260 mu g L-1 PE MPs) more effectively altered the biological parameters in the clams compared to individual low PE MPs and BaA exposure, and their combination. The results also indicated the negligible vector role of PE MPs to transport BaA into the clam tissues.</t>
  </si>
  <si>
    <t>10.1016/j.chemosphere.2023.138664</t>
  </si>
  <si>
    <t>Kilic, O; Belivermis, M; Sikdokur, E; Sezer, N; Aksut, Y; Pekmez, M; Kosesakal, T; Gercek, YC</t>
  </si>
  <si>
    <t>Kilic, Onder; Belivermis, Murat; Sikdokur, Ercan; Sezer, Narin; Aksut, Yunus; Pekmez, Murat; Kosesakal, Taylan; Gercek, Yusuf Can</t>
  </si>
  <si>
    <t>Bivalves; Multiple stressors; Gene expression; Biomarkers; Bioaccumulation; Vector role</t>
  </si>
  <si>
    <t>OXIDATIVE STRESS; CHEMICAL TOXICITY; MUSSELS; EXPRESSION; BIOMARKERS; EXPOSURE; RISK; ENVIRONMENT; HEMOCYTES; RESPONSES</t>
  </si>
  <si>
    <t>[Kilic, Onder; Belivermis, Murat] Istanbul Univ, Fac Sci, Dept Biol, TR-34134 Istanbul, Turkiye; [Sikdokur, Ercan] Koc Univ, Dept Mol Biol &amp; Genet, TR-34450 Istanbul, Turkiye; [Sezer, Narin] Istanbul Arel Univ, Med Serv &amp; Tech Dept, Med Lab Tech Program, TR-34295 Istanbul, Turkiye; [Aksut, Yunus] Istanbul Univ, Inst Grad Studies Sci, Istanbul, Turkiye; [Pekmez, Murat] Istanbul Univ, Fac Sci, Dept Mol Biol &amp; Genet, TR-34134 Istanbul, Turkiye; [Kosesakal, Taylan; Gercek, Yusuf Can] Istanbul Univ, Fac Sci, Dept Biol, Bot Div, TR-34134 Istanbul, Turkiye</t>
  </si>
  <si>
    <t>Istanbul University; Koc University; Istanbul Arel University; Istanbul University; Istanbul University; Istanbul University</t>
  </si>
  <si>
    <t>Kilic, O (corresponding author), Istanbul Univ, Fac Sci, Dept Biol, TR-34134 Istanbul, Turkiye.</t>
  </si>
  <si>
    <t>kilic_onder@yahoo.com</t>
  </si>
  <si>
    <t>Kosesakal, Taylan/F-6458-2013</t>
  </si>
  <si>
    <t>Kosesakal, Taylan/0000-0003-1818-3813; Sikdokur, Ercan/0000-0002-6170-2300; AKSUT, YUNUS/0000-0001-9407-5019</t>
  </si>
  <si>
    <t>Scientific Research Projects Co- ordination Unit of Istanbul University [28936]</t>
  </si>
  <si>
    <t>Scientific Research Projects Co- ordination Unit of Istanbul University(Istanbul University)</t>
  </si>
  <si>
    <t>This research was supported by the Scientific Research Projects Co- ordination Unit of Istanbul University, Turkiye (Project number: 28936) .</t>
  </si>
  <si>
    <t>G1RR1</t>
  </si>
  <si>
    <t>WOS:000987017400001</t>
  </si>
  <si>
    <t>A preliminary study on the distribution and morphology of microplastics in the coastal areas of Istanbul, the metropolitan city of Turkey: The effect of location differences (vol 307, 127320, 2021)</t>
  </si>
  <si>
    <t>Microplastics (MP) pollution has emerged in the last 10 years as an interesting topic of research worldwide. However, microplastic pollution is a new multidisciplinary subject that encompasses many unknowns and enters different fields of science. Research carried out in Turkey on the subject is quite limited and remained on a small scale covering only several stations most of the time. This paper aims to study microplastics distribution, type, and color in 43 stations within the Marmara Sea. The novelty of this work is due to the selection of the stations which cover marine (MRN), pier (PIER), stream (STR), sea discharge (SD), and deep-sea discharge (DSD) stations. The effect of the seawater physicochemical characteristics on microplastics distribution was statistically studied using the Pearson's product momentum correlation coefficient. The highest microplastics abundance was for pier stations (3497016.943 particle/km(2)) and the lowest was for marine stations (276185.7144 particle/km(2)).</t>
  </si>
  <si>
    <t>10.1016/j.jclepro.2021.129982</t>
  </si>
  <si>
    <t>Correction</t>
  </si>
  <si>
    <t>Erkan, HS; Tura, NB; Albay, M; Engin, GO</t>
  </si>
  <si>
    <t>Erkan, Hanife Sari; Tura, Nouha Bakaraki; Albay, Meric; Engin, Guleda Onkal</t>
  </si>
  <si>
    <t>[Erkan, Hanife Sari; Tura, Nouha Bakaraki; Engin, Guleda Onkal] Yildiz Tech Univ, Fac Civil Engn, Dept Environm Engn, TR-34220 Istanbul, Turkey; [Albay, Meric] Istanbul Univ, Fac Aquat Sci, Dept Freshwater Resources &amp; Management, Istanbul, Turkey</t>
  </si>
  <si>
    <t>Erkan, HS (corresponding author), Yildiz Tech Univ, Fac Civil Engn, Dept Environm Engn, TR-34220 Istanbul, Turkey.</t>
  </si>
  <si>
    <t>JAN 10</t>
  </si>
  <si>
    <t>0T6II</t>
  </si>
  <si>
    <t>WOS:000787069800003</t>
  </si>
  <si>
    <t>INVESTIGATION OF HEAVY METAL ADSORPTION ON MICROPLASTICS</t>
  </si>
  <si>
    <t>Microplastics and heavy metals represent two pollutant classes which have adverse impacts on aquatic ecosystems. This study has investigated the adsorption of two heavy metals [Lead (Pb)II and Aluminum (Al)III] on three different types of microplastics [polyethylene terephthalate (PET), polyamide (PA), ethylene vinyl acetate (EVA)]. The Scanning Electron Microscope (SEM) analysis has shown that microplastics have different surface characteristics. The effects of parameters such as the pH of solution, duration of contact, initial concentration and temperature on adsorption capacity have been examined Experimental results have been applied to the adsorption isotherm models of Langmuir and Freundlich and it has been seen that the Freundlich model has been seen as more suitable than the Langmuir model. Moreover, the pseudo-second kinetic has been found to be more appropriate than the pseudo-first kinetic model. Adsorption percentages have changed according to the type of microplastic and working conditions. Finally, the study has investigated the potential of microplastics to act as an instrument of transport for heavy metals to the food chain and for their bioaccumulation.</t>
  </si>
  <si>
    <t>10.15666/aeer/1704_73017310</t>
  </si>
  <si>
    <t>Oz, N; Kadizade, G; Yurtsever, M</t>
  </si>
  <si>
    <t>Oz, N.; Kadizade, G.; Yurtsever, M.</t>
  </si>
  <si>
    <t>APPLIED ECOLOGY AND ENVIRONMENTAL RESEARCH</t>
  </si>
  <si>
    <t>polyethylene terephthalate; polyamide; ethylene vinyl acetate; bioaccumulation</t>
  </si>
  <si>
    <t>WASTE-WATER; ACTIVATED CARBON; REMOVAL; ISOTHERMS; SORPTION; SEA</t>
  </si>
  <si>
    <t>[Oz, N.; Kadizade, G.; Yurtsever, M.] Sakarya Univ, Engn Fac, Sakarya, Turkey</t>
  </si>
  <si>
    <t>Oz, N (corresponding author), Sakarya Univ, Engn Fac, Sakarya, Turkey.</t>
  </si>
  <si>
    <t>nuroz@sakarya.edu.tr; goksin.kadizade1@ogr.sakarya.edu.tr; mevci@sakarya.edu.tr</t>
  </si>
  <si>
    <t>Yurtsever, Meral/GYU-5307-2022; OZ, Nurtac/HKO-2365-2023</t>
  </si>
  <si>
    <t>Yurtsever, Meral/0000-0002-7965-1919; OZ, Nurtac/0000-0003-2204-6993</t>
  </si>
  <si>
    <t>Graduate School of Scientific Research, Project Commission of Sakarya University [2017-50-01-069]</t>
  </si>
  <si>
    <t>Graduate School of Scientific Research, Project Commission of Sakarya University(Sakarya University)</t>
  </si>
  <si>
    <t>This research work was supported and granted by the Graduate School of Scientific Research, Project Commission (Proje no: 2017-50-01-069) of Sakarya University.</t>
  </si>
  <si>
    <t>CORVINUS UNIV BUDAPEST</t>
  </si>
  <si>
    <t>BUDAPEST</t>
  </si>
  <si>
    <t>VILLANYI UT 29/43, BUDAPEST, H-1118, HUNGARY</t>
  </si>
  <si>
    <t>1589-1623</t>
  </si>
  <si>
    <t>1785-0037</t>
  </si>
  <si>
    <t>APPL ECOL ENV RES</t>
  </si>
  <si>
    <t>Appl. Ecol. Environ. Res.</t>
  </si>
  <si>
    <t>IM5XG</t>
  </si>
  <si>
    <t>WOS:000478066700005</t>
  </si>
  <si>
    <t>Evaluation of Microplastics in the Surface Water, Sediment and Fish of Surgu Dam Reservoir (Malatya) in Turkey</t>
  </si>
  <si>
    <t>In this study, the concentration, type, size, and color of MPs in multiple environmental compartments was investigated in Surgu Dam Reservoir. The MP concentrations in surface water were between 106.63 and 200 par.m-3. The MP concentrations in sediment were between 760 and 1.440 par.m-2. A total of 44 MPs, ranging from 0 to 3 samples per fish with averaging 0.41 MPs/individual, were extracted from gastrointestinal tracts of fish. Fibers were the predominant type of MPs in surface water, sediment and fish. The most common MP sizes were 1-2 mm in surface water, 0.2-1 mm in sediment and in fish. The dominant color of detected MPs was black in surface water and transparent in sediment and fish. Polyethylene terephthalate and polypropylene were the major polymer types of the selected particles. Of the two stations, station 1 showed a higher MP concentration level. The results of this study showed the MP concentration in SDR is relatively moderate in sediment although it is lower in fish and surface water samples. This data may assist in extending our knowledge regarding MPs pollution in freshwater systems and provides a baseline for future monitoring and assessment MPs of SDR.</t>
  </si>
  <si>
    <t>10.4194/TRJFAS20157</t>
  </si>
  <si>
    <t>Turhan, DO</t>
  </si>
  <si>
    <t>Turhan, Duygu Ozhan</t>
  </si>
  <si>
    <t>Microplastic; Pollution; Freshwater; Surgu Dam Lake</t>
  </si>
  <si>
    <t>POLLUTION; LAKE; REMOTE</t>
  </si>
  <si>
    <t>[Turhan, Duygu Ozhan] Inonu Univ, Fac Arts &amp; Sci, Dept Biol, TR-44280 Malatya, Turkey</t>
  </si>
  <si>
    <t>Inonu University</t>
  </si>
  <si>
    <t>Turhan, DO (corresponding author), Inonu Univ, Fac Arts &amp; Sci, Dept Biol, TR-44280 Malatya, Turkey.</t>
  </si>
  <si>
    <t>duygu.turhan@inonu.edu.tr</t>
  </si>
  <si>
    <t>TRJFAS20157</t>
  </si>
  <si>
    <t>WOS:000898185300001</t>
  </si>
  <si>
    <t>Effects of a microplastic mixture differ across trophic levels and taxa in a freshwater food web: In situ mesocosm experiment</t>
  </si>
  <si>
    <t>The ubiquitous presence of microplastics (MP) in aquatic ecosystems can affect organisms and communities in multiple ways. While MP research on aquatic organisms has primarily focused on marine ecosystems and laboratory experiments, the community-level effects of MP in freshwaters, especially in lakes, are poorly understood. To examine the impact of MP on freshwater lake ecosystems, we conducted the first in situ community-level mesocosm experiment testing the effects of MP on a model food web with zooplankton as main herbivores, odonate larvae as predators, and chironomid larvae as detritivores for seven weeks. The mesocosms were exposed to a mixture of the most abundant MP polymers found in freshwaters, added at two different concentrations in a single pulse to the water surface, water column and sediment. Water column MP concentrations declined sharply during the first two weeks of the experiment. Contrary to expectations, MP ingestion by zooplankton was low and limited mainly to large-bodied Daphnia, causing a decrease in biomass. Biomass of the other zooplankton taxa did not decrease. Presence of MP in the faecal pellets of odonate larvae that fed on zooplankton was indicative of atrophic transfer of MP. The results demonstrated that MP ingestion varies predictably with MP size, as well as body size and feeding preference of the organism, which can be used to predict the rates of transfer and further effects of MP on freshwater food webs. For chironomids, MP had only a low, short-term impact on emergence patterns while their wing morphology was significantly changed. Overall, the impact of MP exposure on the experimental food web and cross-ecosystem biomass transfer was lower than expected, but the experiment provided the first in situ observation of MP transfer to terrestrial ecosystems by emerging chironomids.</t>
  </si>
  <si>
    <t>10.1016/j.scitotenv.2022.155407</t>
  </si>
  <si>
    <t>Yilcin, D; Yalcin, G; Jovanovic, B; Boukal, DS; Vebrova, L; Riha, D; Stankovic, J; Zdrakovic, DS; Metin, M; Akyurek, YN; Balkanl, D; Filiz, N; Milosevic, D; Feuchtmayr, H; Richardson, JA; Beklioglu, M</t>
  </si>
  <si>
    <t>Yilcin, Dilvin; Yalcin, Gulce; Jovanovic, Boris; Boukal, David S.; Vebrova, Lucie; Riha, Derya; Stankovic, Jelena; Zdrakovic, Dimitrija Savic; Metin, Melisa; Akyurek, Yasmin Naz; Balkanl, Deniz; Filiz, Nur; Milosevic, Djuradj; Feuchtmayr, Heidrun; Richardson, Jessica A.; Beklioglu, Meryem</t>
  </si>
  <si>
    <t>Microplastic; Lake ecosystem; Trophic transfer; Zooplankton; Odonata; Chironomidae</t>
  </si>
  <si>
    <t>DAPHNIA-MAGNA; SHALLOW LAKES; FISH LARVAE; WING LENGTH; INGESTION; EXPOSURE; ZOOPLANKTON; PARTICLES; IMPACT; COPEPOD</t>
  </si>
  <si>
    <t>[Yilcin, Dilvin; Yalcin, Gulce; Metin, Melisa; Akyurek, Yasmin Naz; Balkanl, Deniz; Filiz, Nur] Middle East Tech Univ, Dept Biol Sci, Limnol Lab, Ankara, Turkey; [Yilcin, Dilvin] Middle East Tech Univ, Grad Sch Nat &amp; Appl Sci, Earth Syst Sci, Ankara, Turkey; [Yalcin, Gulce; Filiz, Nur; Beklioglu, Meryem] Middle East Tech Univ, Ecosyst Res &amp; Implementat Ctr, Ankara, Turkey; [Jovanovic, Boris] Iowa State Univ, Dept Ecol Evolut &amp; Organismal Biol, Ames, IA USA; [Boukal, David S.; Vebrova, Lucie; Riha, Derya] Univ South Bohemia, Fac Sci, Dept Ecosyst Biol, Ceske Budejovice, Czech Republic; [Boukal, David S.] Czech Acad Sci, Inst Entomol, Biol Ctr, Ceske Budejovice, Czech Republic; [Stankovic, Jelena; Zdrakovic, Dimitrija Savic; Milosevic, Djuradj] Univ Nis, Fac Sci &amp; Math, Dept Biol &amp; Ecol, Nish, Serbia; [Feuchtmayr, Heidrun; Richardson, Jessica A.] UK Ctr Ecol &amp; Hydrol, Lancaster Environm Ctr, Lancaster, England</t>
  </si>
  <si>
    <t>Middle East Technical University; Middle East Technical University; Middle East Technical University; Iowa State University; University of South Bohemia Ceske Budejovice; Czech Academy of Sciences; Biology Centre of the Czech Academy of Sciences; University of Nis; N8 Research Partnership; Lancaster University; UK Centre for Ecology &amp; Hydrology (UKCEH)</t>
  </si>
  <si>
    <t>Beklioglu, M (corresponding author), Middle East Tech Univ, Ecosyst Res &amp; Implementat Ctr, Ankara, Turkey.</t>
  </si>
  <si>
    <t>dilvin.yildiz@metu.edu.tr; ygulce@metu.edu.tr; meryem@metu.edu.tr</t>
  </si>
  <si>
    <t>Boukal, David/H-4762-2014</t>
  </si>
  <si>
    <t>Boukal, David/0000-0001-8181-7458; Savic Zdravkovic, Dimitrija/0000-0002-3134-0230; Stankovic, Jelena/0000-0003-1560-3755</t>
  </si>
  <si>
    <t>AQUACOSM [731065, 871081]</t>
  </si>
  <si>
    <t>AQUACOSM</t>
  </si>
  <si>
    <t>The mesocosm experiment was funded by the AQUACOSM (project no: 731065, https:// www.aquacosm.eu) and AQUACOSM-plus (project no: 871081, https:// www.aquacosm.eu/project-information/aquacosm-plus/) . The FvB-IGB-lead project AQUACOSM was funded by EU-H2020-INFRAIA call to coordinate research, develop common best practices and open both freshwater and marine large-scale research infrastructures (mesocosms) for international cross-discipline participation. We thank Ugur Ilk?n for help with the mesocosm setup and data collection and Jan Okrouhl?k, Vojt?ch Kol?? (University of South Bohemia, Czech Republic) and Hana Sehadov? (Biology Centre CAS, Czech Republic) for the identification of odonate lar-vae and assistance with the analysis of their faecal pellets. We also thank Erik Jeppesen for a critical reading of the manuscript.</t>
  </si>
  <si>
    <t>AUG 25</t>
  </si>
  <si>
    <t>1X3LR</t>
  </si>
  <si>
    <t>WOS:000807359900016</t>
  </si>
  <si>
    <t>Microplastic pollution in seabed sediments at different sites on the shores of Istanbul-Turkey: Preliminary results</t>
  </si>
  <si>
    <t>Despite recent increase in microplastics-related studies, little is known about their abundance in seabed sediment areas. However, the quantity of microplastics (MPs) in sediments is imperative for an overall understanding of worldwide MPs pollution. To address the above-mentioned gap, this study was performed on 43 seabed sediment stations from the Marmara Sea of Turkey. Studied stations vary between marine (MRN), pier (PIER), stream (STR), sea discharge (SD), and deep-sea discharge (DSD) stations. Collected seabed sediment samples were analyzed for MPs abundance, shape, size and color distribution. Besides, an investigation on the effect of sea depth on MPs' total abundance, size, and shape was investigated using Pearson's and Spearman's product momentum correlation coefficient. Empirical data analysis showed that the highest MPs abundance at STR stations changed between 1956.5 +/- 3031.8 and 3256.2 +/- 5168.2 particle/kg (dry weight: d.w.) for small MPs particles (SMP) and large MPs particles (LMP), respectively. Contrarily, the lowest abundance was found as 224.8 +/- 423.05 and 287.68 +/- 218.6 particle/kg (d.w.) for SMP and LMP fractions, respectively at DSD stations. The MPs abundance were found at 5 categorized stations in the following order; STR&gt;PIER&gt;MRN&gt;SD&gt;DSD, noted that the highest MPs quantity was found at STR-6 station located in Golden Horn. The isolated MPs were predominantly filament and fragment in shape (42.34 +/- 6.10% and 33.91 +/- 6.92%), blue and white in color (40.46 +/- 4.66% and 24.75 +/- 3.83%). Mean MPs abundance was determined to be 1957.37 +/- 4079.96 particle/kg (d.w) at all 43 stations and sizes between 1 and 5 mm was found to be predominant at depths between 5 and 71m. Furthermore, a negative correlation was found between sea depth and parameters such as total MPs abundance, shape, and size. The overall results revealed the widespread presence of MPs in the seas surrounding Istanbul.</t>
  </si>
  <si>
    <t>10.1016/j.jclepro.2021.129539</t>
  </si>
  <si>
    <t>Microplastics; Seabed sediments; Marmara sea; Istanbul; Turkey</t>
  </si>
  <si>
    <t>YELLOW SEA; SURFACE SEDIMENTS; PLASTIC DEBRIS; MARINE; ORGANISMS; ABUNDANCE; FATE; IDENTIFICATION; PARTICLES; IMPACTS</t>
  </si>
  <si>
    <t>DEC 15</t>
  </si>
  <si>
    <t>XO4KL</t>
  </si>
  <si>
    <t>WOS:000730155600010</t>
  </si>
  <si>
    <t>Removal of microplastics from wastewater through electrocoagulation-electroflotation and membrane filtration processes</t>
  </si>
  <si>
    <t>Wastewater treatment plants (WWTPs) are one of the major vectors of microplastics (MPs) pollution for the recipient water bodies. Therefore, the recovery of MPs from WWTPs is extremely important for decreasing their accumulation and impact in aquatic systems. In this present study, the electrocoagulation-electroflotation (EC/En and membrane filtration processes were investigated in removing MPs from wastewaters. The effectiveness of different electrode combinations (Fe-Al and Al-Fe), current density (10-20 A/m(2)), pH (4.0-10.0) and operating times (0-120 min) on the removal of two different polymer particles in water were investigated to obtain maximum treatment efficiency. The effect of pressure (1-3 bar) on membrane filtration removal efficiency was also investigated. The maximum removal efficiencies were obtained as 100% for both polymer types with electrode combination of Al-Fe, initial pH of 7, current density of 20 A/m(2) and reaction time of 10 min. The membrane filtration method also displayed a 100% removal efficiency. In addition, these laboratory-scale results were compared with the one-year average data of a plant treating with real-scale membranes. The results indicated that the proposed processes were supplied maximum removal efficiency (100%) compared to conventional secondary and tertiary treatment methods (2-81.6%) in the removal of microplastics.</t>
  </si>
  <si>
    <t>10.2166/wst.2021.356</t>
  </si>
  <si>
    <t>Akarsu, C; Kumbur, H; Kideys, AE</t>
  </si>
  <si>
    <t>Akarsu, Ceyhun; Kumbur, Halil; Kideys, Ahmet Erkan</t>
  </si>
  <si>
    <t>electrocoagulation; electroflotation; fibers; membrane filtration; microplastic; wastewater treatment</t>
  </si>
  <si>
    <t>TREATMENT PLANTS; PARTICLES; FATE; SEDIMENTS; IDENTIFICATION; TRANSPORT; SEA</t>
  </si>
  <si>
    <t>[Akarsu, Ceyhun; Kumbur, Halil] Mersin Univ, Dept Environm Engn, TR-33343 Yenisehir, Mersin, Turkey; [Kideys, Ahmet Erkan] Middle East Tech Univ, Inst Marine Sci, TR-33731 Erdemli, Mersin, Turkey</t>
  </si>
  <si>
    <t>ceyhunakarsu@hotmail.com.tr</t>
  </si>
  <si>
    <t>KIDEYS, Ahmet Erkan/HZK-4698-2023; Kumbur, Halil/N-3681-2015; Akarsu, Ceyhun/G-4632-2016</t>
  </si>
  <si>
    <t>Akarsu, Ceyhun/0000-0002-0168-9941; KIDEYS, AHMET ERKAN/0000-0002-1113-2434</t>
  </si>
  <si>
    <t>Scientific and Technological Research Council of Turkey (TUBITAK) [CAYDAG-116Y391]</t>
  </si>
  <si>
    <t>This research was supported by the Scientific and Technological Research Council of Turkey (TUBITAK) grants; CAYDAG-116Y391 ('Investigation of Microplastic Quantity in Domestic Wastewater and Microplastic Removal Methods').</t>
  </si>
  <si>
    <t>WI1MV</t>
  </si>
  <si>
    <t>WOS:000693469700001</t>
  </si>
  <si>
    <t>Evaluation of different packaging methods and storage temperature on MPs abundance and fillet quality of rainbow trout</t>
  </si>
  <si>
    <t>There are many studies on microplastics (MPs) about the aquatic ecosystems and its components. However, there is limited study on the MPs abundance, identification and sources in processed seafood products which are manufactured for direct human consumption. In this study, rainbow trout (Oncorhynchus mykiss) fillets were packed with different packaging techniques and stored at two different temperatures (+4 and -20 degrees C) for 21 days. The presence, shape, size and polymer type of MPs were determined by ATR-FTIR on certain days (7, 14 and 21 days) in fillets during storage. The chemical quality changes in fillets [with pH, thiobarbituric acid reactive substrate (TBARS), and total volatile basic nitrogen (TVB-N) data] were monitored and the effect of MPs presence was evaluated. At the last step, the estimated MPs intake level in humans was determined with considering the presence of MPs (determined in fillets). The presence of MPs was determined the most in the Polystyrene plate + wrapped film (S) group and the least in the Chitosan film + Polystyrene plate + wrapped film (C) group. When evaluated in terms of chemical parameters, although good results were obtained in all samples stored at - 20 degrees C, the presence of MPs was determined at a high level in fillets which stored at this temperature. As a result of the study, it was determined that the packaging type and storage temperature have significant effects on the presence of MPs and fillet quality.</t>
  </si>
  <si>
    <t>10.1016/j.jhazmat.2021.126573</t>
  </si>
  <si>
    <t>Alak, G; Kokturk, M; Atamanalp, M</t>
  </si>
  <si>
    <t>Alak, Gonca; Kokturk, Mine; Atamanalp, Muhammed</t>
  </si>
  <si>
    <t>JOURNAL OF HAZARDOUS MATERIALS</t>
  </si>
  <si>
    <t>Fisheries; Shelf life; Microplastic; TBARS; PH</t>
  </si>
  <si>
    <t>MICROPLASTICS; EXTRACTION; PROTOCOL; WATER; SEA</t>
  </si>
  <si>
    <t>[Alak, Gonca] Ataturk Univ, Fac Fisheries, Dept Seafood Proc Technol, TR-25030 Erzurum, Turkey; [Kokturk, Mine] Igdir Univ, Sch Appl Sci, Dept Organ Farming, TR-76000 Igdir, Turkey; [Atamanalp, Muhammed] Ataturk Univ, Fac Fisheries, Dept Aquaculture, TR-25030 Erzurum, Turkey</t>
  </si>
  <si>
    <t>Ataturk University; Igdir University; Ataturk University</t>
  </si>
  <si>
    <t>0304-3894</t>
  </si>
  <si>
    <t>1873-3336</t>
  </si>
  <si>
    <t>J HAZARD MATER</t>
  </si>
  <si>
    <t>J. Hazard. Mater.</t>
  </si>
  <si>
    <t>WU3DF</t>
  </si>
  <si>
    <t>WOS:000716428300002</t>
  </si>
  <si>
    <t>Single and combined effects of antibiotics and nanoplastics from surgical masks and plastic bottles on pathogens</t>
  </si>
  <si>
    <t>Over the last decade, pollution of plastics and antibiotics has increased in its threat to the environment and human health. However, very limited information is available concerning impact of co-presence of plastics and antibiotics on environment and human health. Moreover, the potential ingestion and inhalation of nano(micro) plastics due to the disposable materials has dramatically increased. With the outbreak and spread of the COVID-19 in the world, disposable surgical masks and plastic bottles have been widely used by the public, and their rapid use and improper dispensing can cause to increase plastic pollution risk on human. However, impacts of co-presence of nano(micro)plastics and antibiotics on pathogens have yet been demonstrated. Therefore, this study aims to investigate the impact the individual and combined influences of nano-sized plastics (surgical mask and plastic bottles) and antibiotics (amoxicillin and spiramycin) towards the main susceptible bacterium (Staphylo-coccus epidermidis, Staphylococcus aureus, Bacillus subtilis, Escherichia coli, and Pseudomonas aeruginosa) by mi-crobial activity, biofilm formation and their biochemical characteristics. The results showed that antimicrobial efficiencies of the tested antibiotics were reduced (approximately 10-98%) with the plastics. Moreover, the biochemical pathways of the microbial activity changed by the plastics entrance. Polymer structure and sorption play the role on the reduction in the inhibition of pathogens. In the meantime, the biofilm formation changed and characteristic of the extracellular polymeric substance with the co-presence of plastics and antibiotics mostly depended on the polymer structure, exposure time and sorption.</t>
  </si>
  <si>
    <t>10.1016/j.cbpc.2022.109340</t>
  </si>
  <si>
    <t>Saygin, H; Baysal, A</t>
  </si>
  <si>
    <t>Saygin, Hasan; Baysal, Asli</t>
  </si>
  <si>
    <t>COMPARATIVE BIOCHEMISTRY AND PHYSIOLOGY C-TOXICOLOGY &amp; PHARMACOLOGY</t>
  </si>
  <si>
    <t>Biofilm; Antibacterial activity; Antibiotic; Plastic pollution; Disposable face mask; Plastic bottles</t>
  </si>
  <si>
    <t>EXTRACELLULAR POLYMERIC SUBSTANCES; WALL TEICHOIC-ACIDS; STAPHYLOCOCCUS-AUREUS; PSEUDOMONAS-AERUGINOSA; MICROPLASTICS; PARTICLES; AMOXICILLIN; RESISTANCE; BIOFILMS; KINETICS</t>
  </si>
  <si>
    <t>[Saygin, Hasan] TC Istanbul Aydin Univ, Applicat &amp; Res Ctr Adv Studies, TR-34295 Istanbul, Turkey; [Baysal, Asli] TC Istanbul Aydin Univ, Hlth Serv Vocat Sch Higher Educ, TR-34295 Istanbul, Turkey</t>
  </si>
  <si>
    <t>Baysal, A (corresponding author), TC Istanbul Aydin Univ, Hlth Serv Vocat Sch Higher Educ, TR-34295 Istanbul, Turkey.</t>
  </si>
  <si>
    <t>ELSEVIER SCIENCE INC</t>
  </si>
  <si>
    <t>STE 800, 230 PARK AVE, NEW YORK, NY 10169 USA</t>
  </si>
  <si>
    <t>1532-0456</t>
  </si>
  <si>
    <t>1878-1659</t>
  </si>
  <si>
    <t>COMP BIOCHEM PHYS C</t>
  </si>
  <si>
    <t>Comp. Biochem. Physiol. C-Toxicol. Pharmacol.</t>
  </si>
  <si>
    <t>APR 2022</t>
  </si>
  <si>
    <t>Biochemistry &amp; Molecular Biology; Endocrinology &amp; Metabolism; Toxicology; Zoology</t>
  </si>
  <si>
    <t>2R4GY</t>
  </si>
  <si>
    <t>WOS:000821072300013</t>
  </si>
  <si>
    <t>Mediterranean dirty edge: High level of meso and macroplastics pollution on the Turkish coast</t>
  </si>
  <si>
    <t>It has become apparent that the coastal zones of aquatic environments are significantly affected by plastics pollution. The accumulation of marine plastic litter on beaches is an important problem due to their significant environmental impacts. In this study, 13 coastal areas in Iskenderun Bay (NE Levantine coast of Turkey) were sampled in May 2018 to investigate meso and macroplastic (0.5-123.4 cm) pollution. A total of 1424 meso and macroplastic items in five categories (filament, film, foam, fragments, and pellets) were collected. The average meso and macroplastic concentration was 12.2 +/- 3.5 pcs m(-2) (12.3 +/- 3.5 g m(-2)) and the mean size for all stations was 3.7 +/- 0.16 cm. The highest meso and macroplastic concentration was found in the Dortyol location (46.2 +/- 7.6 pcs m(-2)) and the lowest concentration was found in the Y. Lagun location (2.3 +/- 0.2 pcs m(-2)). Plastics were separated into 14 different groups based on their origins. The most dominant type was hard plastics (broken, fragmented, and deformed) with 59.8% and greenhouse coverage films with 11%. Our results shows that regardless their source plastics fluxes at beaches from various pathways. Results of this study provide useful information for designing monitoring strategies and setting management goals. (C) 2019 Elsevier Ltd. All rights reserved.</t>
  </si>
  <si>
    <t>10.1016/j.envpol.2019.113351</t>
  </si>
  <si>
    <t>Plastic pollution; Mediterranean sea; Coastal area; Turkish coasts; Iskenderun bay; Beach</t>
  </si>
  <si>
    <t>NE LEVANTINE COAST; MARINE LITTER; SPATIAL-DISTRIBUTION; PLASTIC DEBRIS; BEACH LITTER; MERSIN BAY; MICROPLASTICS; ACCUMULATION; SEA; ABUNDANCE</t>
  </si>
  <si>
    <t>[Gundogdu, Sedat; Cevik, Cem] Cukurova Univ, Fac Fisheries, Dept Basic Sci, TR-01330 Adana, Turkey</t>
  </si>
  <si>
    <t>Turkish Scientific and Technological Research Council (TUBITAK) [117Y212]</t>
  </si>
  <si>
    <t>Turkish Scientific and Technological Research Council (TUBITAK)(Turkiye Bilimsel ve Teknolojik Arastirma Kurumu (TUBITAK))</t>
  </si>
  <si>
    <t>This study was supported by the Turkish Scientific and Technological Research Council (TUBITAK) as part of project number 117Y212 entitled Determining the State of Microplastic Pollution in the Sandy Beaches around Iskenderun Bay.</t>
  </si>
  <si>
    <t>JP5RH</t>
  </si>
  <si>
    <t>WOS:000498321100011</t>
  </si>
  <si>
    <t>The Use of Zebra Mussel (Dreissena polymorpha) as a Sentinel Species for the Microplastic Pollution of Freshwater: The Case of Beyhan Dam Lake, Turkey</t>
  </si>
  <si>
    <t>The presence of microplastics (MPs) in several components of different ecosystems has aroused great concern and led to numerous studies on MP pollution. Although there has been an increasing number of these studies in aquatic ecosystems, no data about the MP pollution in zebra mussel (Dreissena polymorpha, Pallas 1771) living in Beyhan dam lake (Elazig, Turkiye) are available. This study aimed to investigate the presence of MPs in freshwater mussel species found in this water reservoir. The distribution and characterization of MPs were investigated by Fourier transform infrared spectroscopy (FTIR) in zebra mussel (D. polymorpha) samples at four different stations. A significant difference in the MP presence between the 1st and 4th stations was observed (p &lt; 0.05). A total of 52 MPs were determined in mussels collected from different stations in Beyhan Dam Lake. A total of 18 MPs of this total (1.80 +/- 0.92 MP/individual) were obtained in station 1 and 7 of them (0.70 +/- 0.82 MP/individual) were from the 4th station. Results of the MP investigation showed that the dominant color was black, the common size range was 1001-2000 mu m, the dominant polymer shape was fiber, and the main polymer type was polypropylene (PP). A positive correlation was found among total MP and factors (length, tissue weight, and MP/individual). The detection of MPs in a freshwater mussel of the Beyhan dam lake can be suggested as a threat indicator and offers the possibility of using D. polymorpha as a bioindicator in the aquatic ecosystems' MP pollution.</t>
  </si>
  <si>
    <t>10.3390/su15021422</t>
  </si>
  <si>
    <t>Atamanalp, M; Kokturk, M; Guenduez, F; Parlak, V; Ucar, A; Alwazeer, D; Alak, G</t>
  </si>
  <si>
    <t>Atamanalp, Muhammed; Kokturk, Mine; Guenduez, Fatih; Parlak, Veysel; Ucar, Arzu; Alwazeer, Duried; Alak, Gonca</t>
  </si>
  <si>
    <t>freshwater mussel; microplastics; water pollution; Beyhan dam lake; bioindicator</t>
  </si>
  <si>
    <t>EXTRACTION; PROTOCOL; FISH</t>
  </si>
  <si>
    <t>[Atamanalp, Muhammed; Ucar, Arzu] Ataturk Univ, Fac Fisheries, Dept Aquaculture, TR-25030 Erzurum, Turkiye; [Kokturk, Mine] Igdir Univ, Fac Appl Sci, Dept Organ Agr Management, TR-76000 Igdir, Turkiye; [Guenduez, Fatih] Fisheries Res Inst, TR-23000 Elazig, Turkiye; [Parlak, Veysel] Ataturk Univ, Fac Fisheries, Dept Basic Sci, TR-25030 Erzurum, Turkiye; [Alwazeer, Duried] Igdir Univ, Res Ctr Redox Applicat Foods RCRAF, TR-76000 Igdir, Turkiye; [Alwazeer, Duried] Igdir Univ, Innovat Food Technol Dev Applicat &amp; Res Ctr, TR-76000 Igdir, Turkiye; [Alwazeer, Duried] Igdir Univ, Fac Hlth Sci, Dept Nutr &amp; Dietet, TR-76000 Igdir, Turkiye; [Alak, Gonca] Ataturk Univ, Fac Fisheries, Dept Seafood Proc, TR-25030 Erzurum, Turkiye</t>
  </si>
  <si>
    <t>Ataturk University; Igdir University; Ataturk University; Igdir University; Igdir University; Igdir University; Ataturk University</t>
  </si>
  <si>
    <t>Alak, G (corresponding author), Ataturk Univ, Fac Fisheries, Dept Seafood Proc, TR-25030 Erzurum, Turkiye.</t>
  </si>
  <si>
    <t>ALAK, Gonca/HZK-0144-2023; Alwazeer, Duried/G-2589-2015; Atamanalp, Muhammed/AAG-2950-2020</t>
  </si>
  <si>
    <t>Alwazeer, Duried/0000-0002-2291-1628; ATAMANALP, MUHAMMED/0000-0002-2038-3921; alak, gonca/0000-0002-7539-1152; UCAR, Arzu/0000-0001-5675-9401</t>
  </si>
  <si>
    <t>8Q3FH</t>
  </si>
  <si>
    <t>WOS:000927096000001</t>
  </si>
  <si>
    <t>Polyethylene exposure in rainbow trout; suppresses growth and may act as a promoting agent in tissue-based oxidative response, DNA damage and apoptosis</t>
  </si>
  <si>
    <t>The toxic effects of microplastic (MP) pollution, which is a growing threat to the aquatic ecosystem, are constantly recorded by scientific reports at the organism and cellular levels. Despite this, the action mechanism of MP toxicity remains ambiguous. This research was designed to investigate the interactions with multiple biomarkers in the tissues of Oncorhynchus mykiss exposed to polyethylene microplastics (MPs-PE) under controlled conditions. In this context, fish were fed with MP-PE added feeding at different levels [MP-PE-I (10%) and MP-PE-II (20%)]. It was aimed to elucidate the MP abundance in gills, gastrointestinal system, on growth and hematological indexes in fish, as well as possible oxidative, DNA damage in target tissues (brain, gill, liver and muscle) and a number of biochemical events underlying apoptosis. MPs-PE tested at different concentrations led to changes in growth parameters and hematologic indices in fish. In all tissues targeted for the follow-up of oxidative stress, inhibitions in GSH levels and antioxidant enzyme activities were determined, while MDA, ROS, DNA damage and apoptosis significantly changed the expression profile upwards. MPs-PE significantly inhibited neurotransmission in rainbow trout. In conclusion, the outcomes of this study revealed that MPs-PE induced dose-dependent ROS-mediated apoptotic responses/ DNA damage in rainbow trout. The data are also a first record for rainbow trout and will help unravel different mechanisms with the potential to model for other MPs-PE-based toxicity studies.</t>
  </si>
  <si>
    <t>10.1016/j.psep.2023.05.005</t>
  </si>
  <si>
    <t>Atamanalp, M; Kirici, M; Kokturk, M; Kirici, M; Kocaman, EM; Ucar, A; Parlak, V; Ozcan, S; Yanik, T; Alak, G</t>
  </si>
  <si>
    <t>Atamanalp, Muhammed; Kirici, Muammer; Kokturk, Mine; Kirici, Mahinur; Kocaman, Esat Mahmut; Ucar, Arzu; Parlak, Veysel; Ozcan, Sinan; Yanik, Telat; Alak, Gonca</t>
  </si>
  <si>
    <t>Polyethylene; Rainbow Trout; Growth; Promoting Agent; Oxidative Response; DNA Damage; Apoptosis</t>
  </si>
  <si>
    <t>MICROPLASTICS; FISH; STRESS; NEUROTOXICITY; ANTIOXIDANT; TOXICITY; MEAL</t>
  </si>
  <si>
    <t>[Atamanalp, Muhammed; Kocaman, Esat Mahmut; Ucar, Arzu; Ozcan, Sinan; Yanik, Telat] Ataturk Univ, Fac Fisheries, Dept Aquaculture, TR-25030 Erzurum, Turkiye; [Kirici, Muammer] Bingol Univ, Food Agr &amp; Livestock Vocat Sch, Dept Vet Hlth, TR-12000 Bingol, Turkiye; [Kokturk, Mine] Igdir Univ, Fac Appl Sci, Dept Organ Agr Management, Igdir, Turkiye; [Kirici, Mahinur] Bingol Univ, Fac Arts &amp; Sci, Dept Chem, TR-12000 Bingol, Turkiye; [Parlak, Veysel] Ataturk Univ, Fac Fisheries, Dept Basic Sci, TR-25240 Erzurum, Turkiye; [Alak, Gonca] Ataturk Univ, Fac Fisheries, Dept Seafood Proc, TR-25030 Erzurum, Turkiye</t>
  </si>
  <si>
    <t>Ataturk University; Bingol University; Igdir University; Bingol University; Ataturk University; Ataturk University</t>
  </si>
  <si>
    <t>I6XK7</t>
  </si>
  <si>
    <t>WOS:001004193000001</t>
  </si>
  <si>
    <t>Potential interaction between plastic litter and green turtle Chelonia mydas during nesting in an extremely polluted beach</t>
  </si>
  <si>
    <t>This study examines the extent of macroplastic pollution on Samandag beach and the potential effects on green sea turtles during nesting. For this purpose, a total of 39 different turtle tracks were studied. Mean plastic concentration was found to be 19.5 +/- 1.2 pcs m(-2). Among the different types of crawling, the highest concentrations of plastics were found on the tracks of turtles that did not attempt to dig nests (25.9 +/- 8.4 pcs m(-2)). In total, 7 different types of plastics (disposable, film, fishing-related, foam, fragments, miscellaneous, and textile) were found, with film-type plastics being the most prevalent (11 pcs m(-2)). Samandag beach was found to be greatly more polluted than any other beach in the Mediterranean Sea. We concluded that this pollution can cause negative effects, especially entanglement and entrapment, on green sea turtle females and hatchlings.</t>
  </si>
  <si>
    <t>10.1016/j.marpolbul.2019.01.032</t>
  </si>
  <si>
    <t>Gundogdu, S; Yesilyurt, IN; Erbas, C</t>
  </si>
  <si>
    <t>Gundogdu, Sedat; Yesilyurt, Irem Nur; Erbas, Celal</t>
  </si>
  <si>
    <t>Chelonia mydas; Green sea turtle; Plastic pollution; Samandag beach; Levantine Sea</t>
  </si>
  <si>
    <t>MARINE LITTER; SPATIAL-DISTRIBUTION; MEDITERRANEAN SEA; NATAL PHILOPATRY; SANDY LITTORALS; DEBRIS; ACCUMULATION; MICROPLASTICS; HATCHLINGS; ABUNDANCE</t>
  </si>
  <si>
    <t>[Gundogdu, Sedat; Yesilyurt, Irem Nur] Cukurova Univ, Dept Basic Sci, Fac Fisheries, TR-01330 Adana, Turkey; [Erbas, Celal] Cukurova Univ, Yumurtaik Vocat Sch, TR-01330 Adana, Turkey</t>
  </si>
  <si>
    <t>sgundogdu@cu.edu.tr; iyesilyurt@cu.edu.tr; cerbas@cu.edu.tr</t>
  </si>
  <si>
    <t>Gündoğdu, Sedat/B-4475-2018; Erbas, Celal/F-6559-2017; YESILYURT, IREM NUR/E-8586-2018</t>
  </si>
  <si>
    <t>Gündoğdu, Sedat/0000-0002-4415-2837; YESILYURT, IREM NUR/0000-0002-0618-1258</t>
  </si>
  <si>
    <t>Rufford Foundation [23605-1]</t>
  </si>
  <si>
    <t>Rufford Foundation</t>
  </si>
  <si>
    <t>This study was supported by Rufford Foundation with grant number 23605-1.</t>
  </si>
  <si>
    <t>HP1CF</t>
  </si>
  <si>
    <t>WOS:000461402300016</t>
  </si>
  <si>
    <t>Beach Litter on Saraykoy Beach (SE Black Sea): Density, Composition, Possible Sources and Associated Organisms</t>
  </si>
  <si>
    <t>The composition, density and possible sources of litter were seasonally evaluated in a selected beach in the Southeastern Black Sea between June 2016 and March 2017. During the study, 84 different types of litter were determined and a total of 17015 items weighing 168.9 kg were collected. Litter density ranged between 1.22-4.17 items.m(-2) and 11.78-37.47 gr.m(-2). Plastics comprised 84-91% of total litter. The most common three types of litter were foam (17%), 2.5-50 cm plastic/polystyrene pieces (15%) and caps/lids (10%). Fouling organisms found on litter belonged to Mollusca, Arthropoda and Bryozoa. Litter density showed significant seasonal differences with the highest in summer (P&lt;0.05). Matrix Scoring Technique showed that river runoff (22%), landfill/dumping (21%) and fisheries (18%) were the major sources of the litter. According to Clean Coast Index, the beach was very dirty in all seasons. This study provides further evidence that there is a significant litter pollution in the Southeastern Black Sea and that the main component are plastics, which pose a great treat to Black Sea environment. This call for a scientific understanding of the fate and effects of plastics, as well as actions to reduce the amount of plastics entering Black Sea.</t>
  </si>
  <si>
    <t>10.4194/1303-2712-v20_2_06</t>
  </si>
  <si>
    <t>Aytan, U; Sahin, FBE; Karacan, F</t>
  </si>
  <si>
    <t>Aytan, Ulgen; Sahin, Fatma Basak Esensoy; Karacan, Furkan</t>
  </si>
  <si>
    <t>Plastic; Marine litter; Pollution; MSFD; Black Sea</t>
  </si>
  <si>
    <t>MARINE LITTER; PLASTIC DEBRIS; SOLID-WASTE; MICROPLASTICS; ABUNDANCE</t>
  </si>
  <si>
    <t>[Aytan, Ulgen; Sahin, Fatma Basak Esensoy] Recep Tayyip Erdogan Univ, Fac Fisheries, TR-53100 Rize, Turkey; [Karacan, Furkan] Rize Directorate Prov Food Agr &amp; Livestock, TR-53100 Rize, Turkey</t>
  </si>
  <si>
    <t>Aytan, Ulgen/G-5253-2016; Sahin, Fatma Basak Esensoy/U-1480-2017; Nemlioglu, Semih/D-8722-2019; NEMLIOGLU, SEMIH/AAH-8909-2019</t>
  </si>
  <si>
    <t xml:space="preserve">Aytan, Ulgen/0000-0002-6530-3083; Sahin, Fatma Basak Esensoy/0000-0001-7046-3842; Nemlioglu, Semih/0000-0002-9938-4651; </t>
  </si>
  <si>
    <t>IJ5MU</t>
  </si>
  <si>
    <t>WOS:000475948000006</t>
  </si>
  <si>
    <t>An Assessment of Sea Surface and Seabed Macro Plastic Density in Northeastern Mediterranean Sea</t>
  </si>
  <si>
    <t>Increasing plastic usage pose a significant threat to the marine environment. Many studies have been conducted to examine the amount and environmental impacts of plastic waste across the world. This study was carried out to investigate the density and quality of plastics on the sea surface and seabed of Iskenderun Bay. 35 different seabed sampling and 25 different sea surface sampling were conducted by using Iskenderun Technical University R/V ISTE-1 vessel. A total of 1 661 581 m(2) and 465 511 m(2) swept from the seabed and sea surface were scanned, respectively. As a result of these scans, the amount of plastic waste density per unit area of the seabed was found as 0.126 g / m(2) +/- 0.011 (p: 0.95), and the amount of plastic waste density per unit area of sea surface was calculated as 0.052 gr +/- 0.011 (p: 0.95). Scuba dives conducted in river mouths showed plastic deposition pits at the seabed. Major surface current systems and dominant southern winds were found to be effective in the sea surface distribution of materials.</t>
  </si>
  <si>
    <t>10.22059/POLL.2021.331026.1192</t>
  </si>
  <si>
    <t>Yilmaz, AB; Demirci, A; Akar, O; Kilic, E; Uygur, N; Simsek, E; Yanar, A; Ayan, OA</t>
  </si>
  <si>
    <t>Yilmaz, Ayse Bahar; Demirci, Aydin; Akar, Ozkan; Kilic, Ece; Uygur, Necdet; Simsek, Emrah; Yanar, Alper; Ayan, Onur Alptekin</t>
  </si>
  <si>
    <t>POLLUTION</t>
  </si>
  <si>
    <t>plastic density; Iskenderun Bay; Turkey; plastic pollution</t>
  </si>
  <si>
    <t>MARINE LITTER; DEBRIS; WATERS; COAST</t>
  </si>
  <si>
    <t>[Yilmaz, Ayse Bahar; Demirci, Aydin; Kilic, Ece; Simsek, Emrah; Yanar, Alper] Iskenderun Tech Univ, Fac Marine Sci &amp; Technol, TR-31200 Iskenderun Hatay, Turkey; [Akar, Ozkan; Uygur, Necdet; Ayan, Onur Alptekin] Iskenderun Tech Univ, Maritime Vocat Sch, TR-31200 Iskenderun Hatay, Turkey</t>
  </si>
  <si>
    <t>Iskenderun Technical University; Iskenderun Technical University</t>
  </si>
  <si>
    <t>Kilic, E (corresponding author), Iskenderun Tech Univ, Fac Marine Sci &amp; Technol, TR-31200 Iskenderun Hatay, Turkey.</t>
  </si>
  <si>
    <t>DEMİRCİ, Aydın/AAB-2581-2021; Şimşek, Emrah/AAB-9626-2020; Kılıç, Ece/HOH-3410-2023</t>
  </si>
  <si>
    <t xml:space="preserve">Şimşek, Emrah/0000-0001-7066-2534; </t>
  </si>
  <si>
    <t>Iskenderun Technical University Scientific Research Projects (BAP) Coordination Unit [2018-YP-01]</t>
  </si>
  <si>
    <t>Iskenderun Technical University Scientific Research Projects (BAP) Coordination Unit</t>
  </si>
  <si>
    <t>The present research has been financially supported by Iskenderun Technical University Scientific Research Projects (BAP) Coordination Unit (grant No. 2018-YP-01).</t>
  </si>
  <si>
    <t>UNIV TEHRAN</t>
  </si>
  <si>
    <t>TEHRAN</t>
  </si>
  <si>
    <t>COLL SCI, PO BOX 14155-6455, TEHRAN, 1417-614411, IRAN</t>
  </si>
  <si>
    <t>2383-451X</t>
  </si>
  <si>
    <t>2383-4501</t>
  </si>
  <si>
    <t>Pollution</t>
  </si>
  <si>
    <t>ZE7SA</t>
  </si>
  <si>
    <t>WOS:000759076700013</t>
  </si>
  <si>
    <t>Assessment of origin and abundance of beach litter in Homa Lagoon coast, West Mediterranean Sea of Turkey</t>
  </si>
  <si>
    <t>The pollution of beach litter was seasonally evaluated in a selected beach in the West Mediterranean Region of Turkey between December 2019 and September 2020. Beach litter survey was carried out seasonally according to 'Guidance on Monitoring of Marine Litter in European Seas' published by European Marine Strategy Framework Directive Technical Subgroup on Marine Litter. During the study, a total of 2.324 items and 105.44 kg were collected. The average litter density was 581.0 +/- 60.04 items/m(2) and 26.36 +/- 0.85 g/m(2). The results indicated that the most common type of litter were plastic/polystyrene (35%), unidentifiable (18%) followed by cloth/textile (16%). Litter density showed significant seasonal differences with the highest in summer (P &lt; 0.05). Homa beach was classified as dirty according to Clean Coast Index. It was observed that the litter in the region averagely consisted of mixed packaging litter (24.25%), fisheries related litter (19%) and unclassified litter (15.25%) items. Our results show that the coast of Homa Lagoon exposed to a significant amount of marine litter pollution originated from land-based sources. This study provides further evidence that there is a significant litter pollution in the West Mediterranean Sea of Turkey and that the main component are plastics, which pose a great treat to the Mediterranean Sea environments.</t>
  </si>
  <si>
    <t>10.1016/j.ecss.2020.107114</t>
  </si>
  <si>
    <t>Ertas, A</t>
  </si>
  <si>
    <t>Ertas, Alperen</t>
  </si>
  <si>
    <t>ESTUARINE COASTAL AND SHELF SCIENCE</t>
  </si>
  <si>
    <t>Marine litter; Plastic pollution; Homa lagoon; Mediterranean</t>
  </si>
  <si>
    <t>PLASTIC DEBRIS; MARINE LITTER; LEVANTINE COAST; POLLUTION; MICROPLASTICS; BAY; ZOOPLANKTON; DYNAMICS; SHORES; WATERS</t>
  </si>
  <si>
    <t>[Ertas, Alperen] Ege Univ, Fac Sci, Dept Biol, TR-35100 Izmir, Turkey</t>
  </si>
  <si>
    <t>Ertas, A (corresponding author), Ege Univ, Fac Sci, Dept Biol, TR-35100 Izmir, Turkey.</t>
  </si>
  <si>
    <t>alperenertas@hotmail.com</t>
  </si>
  <si>
    <t>ERTAŞ, Alperen/AAC-6271-2021</t>
  </si>
  <si>
    <t>ERTAŞ, Alperen/0000-0001-8510-6100</t>
  </si>
  <si>
    <t>0272-7714</t>
  </si>
  <si>
    <t>1096-0015</t>
  </si>
  <si>
    <t>ESTUAR COAST SHELF S</t>
  </si>
  <si>
    <t>Estuar. Coast. Shelf Sci.</t>
  </si>
  <si>
    <t>FEB 5</t>
  </si>
  <si>
    <t>Marine &amp; Freshwater Biology; Oceanography</t>
  </si>
  <si>
    <t>PY2PW</t>
  </si>
  <si>
    <t>WOS:000611891800001</t>
  </si>
  <si>
    <t>Abundance and characteristics of microplastics in an urban wastewater treatment plant in Turkey</t>
  </si>
  <si>
    <t>Wastewater treatment plants (WWTPs) are considered one of the important sources of aquatic/terrestrial microplastic (MP) pollution. Therefore, the abundance and properties of MPs in the wastewater and sludge of an urban WWTP in Bursa Turkey were investigated. The amount, properties, and removal of MPs were evaluated. The results showed that the average abundance of MPs was 135.3 +/- 28.0 n/L in the influent and 8.5 +/- 4.7 n/L in the effluent, with a 93.7% removal rate, MP was removed and transferred to the sludge. The daily MP amount released in the aquatic environment is calculated as 525 million MPs, and the annual amount is 1.9 x 10(11) MPs. The abundance of MPs in the sludge thickening and sludge filter cake is 17.9 +/- 2.3 and 9.5 +/- 2.3 n/g dry weight (dw), respectively. The sludge disposal amount of WWTP is 81.5 tons/day and the approximate amount of MP accumulated in the sludge per year is calculated as 2.8 x 10(11) MPs. In wastewater and sludge samples, fragment dominant shape, black main colour, and 500-1000 mu m sizes are the most common size. The main MP types in wastewater samples at the influent are polypropylene (PP, 36.8%), polyethylene (PE, 31.0%), polystyrene (PS, 11.8%), polyethylene terephthalate (PET, 8.0%), and polyamide (PA, 7.1%), at the effluent (PE, 33.0%), (PP, 52.5%), and (PS, 8.2%). In the sludge cake, the distribution is (PE, 40.8%), (PP, 27.6%), (PS, 18.7%) and (PET, 8.0%). The results of this study show that MPs are removed from wastewater with high efficiency by treatment processes and a significant amount accumulates in the sludge. Therefore, it is suggested that to integrate advanced treatment processes into urban WWTPs and use effective sludge disposal management practices to reduce the amount of MP released into the environment with effluent and sludge.</t>
  </si>
  <si>
    <t>10.1016/j.envpol.2022.119890</t>
  </si>
  <si>
    <t>Ustun, GE; Bozda, K; Can, T</t>
  </si>
  <si>
    <t>Ustun, Gokhan Ekrem; Bozda, Kubra; Can, Tugba</t>
  </si>
  <si>
    <t>Microplastics; Wastewater treatment plant; Sludge; Removal; Abundance; Characteristics</t>
  </si>
  <si>
    <t>PARTICLES; REMOVAL; POLLUTION; PATTERNS; FATE; CONTAMINATION; ACCUMULATION; RETENTION; SEDIMENTS; SLUDGE</t>
  </si>
  <si>
    <t>[Ustun, Gokhan Ekrem; Bozda, Kubra; Can, Tugba] Bursa Uludag Univ, Fac Engn, Dept Environm Engn, TR-16059 Bursa, Turkey</t>
  </si>
  <si>
    <t>Uludag University</t>
  </si>
  <si>
    <t>Ustun, GE (corresponding author), Bursa Uludag Univ, Fac Engn, Dept Environm Engn, TR-16059 Bursa, Turkey.</t>
  </si>
  <si>
    <t>gokhaneu@uludag.edu.tr</t>
  </si>
  <si>
    <t>CAN, Tuğba/GRS-0367-2022</t>
  </si>
  <si>
    <t>CAN, Tuğba/0000-0003-4717-801X; USTUN, Gokhan Ekrem/0000-0002-7126-6792</t>
  </si>
  <si>
    <t>Research Fund of The Bursa Uluda.g University [BAP FGA 2021-322]</t>
  </si>
  <si>
    <t>Research Fund of The Bursa Uluda.g University</t>
  </si>
  <si>
    <t>This research was conducted with the financial support of the Research Fund of The Bursa Uluda.g University (No:BAP FGA 2021-322). The authors would like to thank Bursa Water and Sewerage Administration (BUSK.I) for their help in collecting the wastewater and sludge samples during the experimental runs and Dr. Ahmet Aygun, and Dr. Yunus Kaya for their help in ATR-FTIR analyses.</t>
  </si>
  <si>
    <t>4U6YR</t>
  </si>
  <si>
    <t>WOS:000858937500009</t>
  </si>
  <si>
    <t>Plastics derived from disposable greenhouse plastic films and irrigation pipes in agricultural soils: a case study from Turkey</t>
  </si>
  <si>
    <t>Plastics are ubiquitous. It has been used in human activities, from agriculture to packaging, infrastructure, and health. The wide range of usage makes plastics an omnipresent pollutant in the environment. This study investigated the abundance and type of plastics in agricultural soil in the Adana/Karatas region in Turkey, where disposable low-tunnel greenhouse plastic films and irrigation pipes were in use. For this purpose, 1 kg of soil samples from the top 5 cm (from the surface) was taken from 10 different sampling locations. An average of 16.5 +/- 2.4 pcs/kg was found in the soil samples. The highest amount of plastics was seen at the Bahce-4 location with 39.7 +/- 12 pcs/kg and the lowest amount of plastics at the Karata-1 location with 0.7 +/- 0.3 pcs/kg. The average size of plastics was found to be 18.2 +/- 1.3 mm. The average size of plastics originating from greenhouse cover was 18.9 +/- 1.4 mm, and from disposable irrigation pipes was 12.5 +/- 3.5 mm. It was determined that 41.9% of extracted plastics were microplastics, 36.3% were mesoplastics, 16.3% were macroplastics, and 5.6% were megaplastics. Results indicated that residual plastics decreased in the soil where used plastics were removed after usage. As a result, it is worth noting that a significant amount of plastics remain in soil due to plastics being used in agricultural areas.</t>
  </si>
  <si>
    <t>10.1007/s11356-022-21911-6</t>
  </si>
  <si>
    <t>Gundogdu, R; Onder, D; Gundogdu, S; Gwinnett, C</t>
  </si>
  <si>
    <t>Gundogdu, Rezan; Onder, Derya; Gundogdu, Sedat; Gwinnett, Claire</t>
  </si>
  <si>
    <t>Soil pollution; Drip irrigation; Low-tunnel greenhouse; Terrestrial plastics</t>
  </si>
  <si>
    <t>MICROPLASTICS; POLLUTION; FRAGMENTATION; VEGETABLES; PHTHALATE; DEBRIS</t>
  </si>
  <si>
    <t>[Gundogdu, Rezan; Onder, Derya] Cukurova Univ, Dept Agr Struct &amp; Irrigat, Fac Agr, Adana, Turkey; [Gundogdu, Sedat] Cukurova Univ, Dept Basic Sci, Fac Fisheries, TR-01330 Adana, Turkey; [Gwinnett, Claire] Staffordshire Univ, Sch Justice Secur &amp; Sustainabil, Stoke On Trent ST4 2DF, Staffs, England</t>
  </si>
  <si>
    <t>Cukurova University; Cukurova University; Staffordshire University</t>
  </si>
  <si>
    <t>Gundogdu, R (corresponding author), Cukurova Univ, Dept Agr Struct &amp; Irrigat, Fac Agr, Adana, Turkey.</t>
  </si>
  <si>
    <t>rezan.erdogmus@gmail.com</t>
  </si>
  <si>
    <t>Önder, Derya/J-2092-2018</t>
  </si>
  <si>
    <t>Gundogdu, Rezan/0000-0003-2501-9253</t>
  </si>
  <si>
    <t>Cukurova University Scientific Project Unit [FYL-2020-12847, FBA-2021-13403]</t>
  </si>
  <si>
    <t>Cukurova University Scientific Project Unit(Cukurova University)</t>
  </si>
  <si>
    <t>This study was supported by the Cukurova University Scientific Project Unit (Project numbers FYL-2020-12847 and FBA-2021-13403).</t>
  </si>
  <si>
    <t>6H0GN</t>
  </si>
  <si>
    <t>WOS:000823362300004</t>
  </si>
  <si>
    <t>Composition and abundance of benthic marine litter in the fishing grounds of Iskenderun Bay, northeastern Levantine coast of Turkey</t>
  </si>
  <si>
    <t>The anthropogenic marine debris in the Mediterranean Sea represents a growing concern because of its potentially harmful impact on marine ecosystems. In this paper, we investigated the composition of marine debris in the Iskenderun Bay seafloor. Between November 2009 and April 2010, a total of 34 trawl operations were conducted. Hauls lasted 60-385 min, and the towing speed varied between 2.7 and 2.8 knots. The estimated average marine litter concentration was 450.94 item/km2 (90.34 kg/km2). Plastic was the dominant material type (87%) at all stations. Single-use plastic items represented about 74.9% of the total marine litter. Our results showed that there is severe plastic pollution on the seafloor of Iskenderun Bay that may cause significant damage to both the fisheries sector and the marine environment.</t>
  </si>
  <si>
    <t>10.1016/j.marpolbul.2021.112840</t>
  </si>
  <si>
    <t>Buyukdeveci, F; Gundogdu, S</t>
  </si>
  <si>
    <t>Buyukdeveci, Ferhat; Gundogdu, Sedat</t>
  </si>
  <si>
    <t>Iskenderun Bay; Marine litter; Plastic pollution; Marine pollution; Benthic debris</t>
  </si>
  <si>
    <t>SEA-FLOOR; SPATIAL-DISTRIBUTION; MEDITERRANEAN SEA; FLOATING DEBRIS; PLASTIC DEBRIS; TRAWL CATCHES; MERSIN BAY; MICROPLASTICS; NORTHERN; BEACHES</t>
  </si>
  <si>
    <t>[Buyukdeveci, Ferhat] Adana Directorate Prov Food Agr &amp; Livestock, TR-01330 Adana, Turkey; [Gundogdu, Sedat] Cukurova Univ, Fac Fisheries, Dept Basic Sci, TR-01330 Adana, Turkey</t>
  </si>
  <si>
    <t>Gündoğdu, Sedat/B-4475-2018; büyükdeveci, ferhat/AAZ-5806-2020</t>
  </si>
  <si>
    <t>Gündoğdu, Sedat/0000-0002-4415-2837; büyükdeveci, ferhat/0000-0002-8531-525X</t>
  </si>
  <si>
    <t>UY7DK</t>
  </si>
  <si>
    <t>WOS:000701679700002</t>
  </si>
  <si>
    <t>Occurrence of microplastics in the gastrointestinal tracts of some edible fish species along the Turkish coast</t>
  </si>
  <si>
    <t>Plastics have become an inseparable part of modern life as a consequence of their versatility, low cost, durability, and lightweight. In this study, the presence of microplastics (MPs) in the stomachs and digestive tracts of 243 individuals of leaping mullet (Chelon saliens (Risso, 1810)), red mullet (Mullus barbatus barbatus Linnaeus, 1758), surmullet (Mullus surrnuletus Linnaeus, 1758), Mediterranean horse mackerel ( Trachurus mediterraneus (Steindachner, 1868)), and sand steenbras (Lithognathus mormyrus (Linnaeus, 1758)), collected along the Marmara, Aegean, and Mediterranean coasts of Turkey was examined microscopically and through p-Raman analysis. A total of 283 MP particles were extracted. Among the examined species, the average MP concentration was 1.1 MP per fish (MPs fish(-1)). The number of MPs detected was 2.5 MPs fish(-1) for leaping mullet, 1.1 MPs fish(-1) for red mullet, 0.6 MPs fish(-1) for sand steenbras, and 0.4 MPs fish(-1) for Mediterranean horse mackerel and surmullet. The size of the MPs ranged from 0.028 to 4.909 mm. To determine the polymer types of the MPs, a p-Raman analysis was conducted. The most frequently detected polymers were polypropylene (26%), polyethylene (21.9%), polyethylene terephthalate/polyester (8.2%), and cellulose (7.5%). The results of this study showed that MP pollution represents an emerging threat to the fish of Turkish marine waters.</t>
  </si>
  <si>
    <t>10.3906/zoo-2003-49</t>
  </si>
  <si>
    <t>Microplastics; ingestion; Turkish marine waters; plastic pollution</t>
  </si>
  <si>
    <t>DEMERSAL FISH; INGESTION; SEA; ACCUMULATION; POLLUTION; LINNAEUS; PLASTICS; WATERS; AREAS</t>
  </si>
  <si>
    <t>[Gundogdu, Sedat; Cevik, Cem] Cukurova Univ, Fac Fisheries, Dept Basic Sci, Adana, Turkey; [Atas, Nihan Temiz] Greenpeace Mediterranean Turkey Off, Istanbul, Turkey</t>
  </si>
  <si>
    <t>Greenpeace Mediterranean as part of the Turkiye'deki deniz canlilarinda mikroplastik kirliligi: Plastikten kurtul oltaya gelme project</t>
  </si>
  <si>
    <t>This study was supported by Greenpeace Mediterranean as part of the Turkiye'deki deniz canlilarinda mikroplastik kirliligi: Plastikten kurtul oltaya gelme project.</t>
  </si>
  <si>
    <t>TUBITAK SCIENTIFIC &amp; TECHNICAL RESEARCH COUNCIL TURKEY</t>
  </si>
  <si>
    <t>ATATURK BULVARI NO 221, KAVAKLIDERE, ANKARA, 00000, TURKEY</t>
  </si>
  <si>
    <t>NS3PR</t>
  </si>
  <si>
    <t>WOS:000572178200002</t>
  </si>
  <si>
    <t>Marine plastics in the fishing grounds in the Black Sea</t>
  </si>
  <si>
    <t>Marine plastics are considered as a major threat to the marine ecosystem and coastal economies. The plastics in the marine environment have direct and indirect negative effects on the economic income derived from the marine environment. Marine plastics also affect fisheries, one of the most important sectors providing food and income at local and international levels. Possible impacts of the marine plastics on the Black Sea fisheries were discussed along with a case study of a seafloor litter. A total of five trawl surveys were carried out the southern Black Sea trawling areas of the Samsun province. 67 litter items weighing 10 kg were collected during the surveys. The most abundant litter items were nylon (61.26%), plastic (21.52%) and, metal (5.38%) in total. Nylon has a considerably high surface-area-to-volume ratio, which results in blocking the codend in the trawl fishery and increases by-catch. The metal and plastic items in the catch can damage both the fishing gear and the catch, which may reduce the income and increase the repair costs. The field data on the direct and indirect effect of the marine plastics on the fisheries are limited. More comprehensive studies are needed to determine the levels of the impacts on fisheries. Unless reduction and prevention measures are implemented, the accumulation of the plastics in the marine ecosystem may cause even more economic loss and risk to human health.</t>
  </si>
  <si>
    <t>Terzi, Y; Seyhan, K</t>
  </si>
  <si>
    <t>Terzi, Yahya; Seyhan, Kadir</t>
  </si>
  <si>
    <t>Fisheries; marine plastics; economic impacts; Black Sea; bottom trawl</t>
  </si>
  <si>
    <t>LITTER</t>
  </si>
  <si>
    <t>[Terzi, Yahya; Seyhan, Kadir] Karadeniz Tech Univ, Fac Marine Sci, TR-61530 Trabzon, Turkey</t>
  </si>
  <si>
    <t>Terzi, Y (corresponding author), Karadeniz Tech Univ, Fac Marine Sci, TR-61530 Trabzon, Turkey.</t>
  </si>
  <si>
    <t>yahyaterzi@outlook.com</t>
  </si>
  <si>
    <t>Terzi, Yahya/CAC-0027-2022; Seyhan, Kadir/HGC-9430-2022</t>
  </si>
  <si>
    <t xml:space="preserve">Terzi, Yahya/0000-0002-6367-5000; </t>
  </si>
  <si>
    <t>WOS:000637180200014</t>
  </si>
  <si>
    <t>Interaction of nanoplastics with simulated biological fluids and their effect on the biofilm formation</t>
  </si>
  <si>
    <t>Over the last decade, it has become clear that the pollution by plastic debris presents global societal, environmental, and human health challenges. Moreover, humans are exposed to plastic particles in daily life and very limited information is available concerning human health, especially interactions with biological fluids. Therefore, the aim of this study is to investigate the interaction of plastic particles with simulated biological fluids (e.g., artificial saliva, artificial lysosomal fluid, phagolysosomal simulant fluid, and Gamble's solution) using various exposure stages (2 h to 80 h) and the effect of plastic particles on the formation of Staphylococcus aureus biofilms under simulated biological conditions. The plastic particles incubating various simulated biological fluids were characterized using surface functional groups, zeta potentials, and elemental composition. The results indicated that functional group indices (C-O, C = O, C-H, C = C, C-N, S = O, and OH) decreased compared to the control group during the incubation periods, except for the hydroxyl group index. The FTIR results showed that the hydroxyl group formed with the artificial lysosomal fluid, the phagolysosomal simulant fluid, and Gamble's solution. With the impact of the declining functional groups, the zeta potentials were more negative than in the control. Moreover, EDX results showed the release of the components in the particles with the interaction of simulated biological fluids as well as new components like P and Ca introduced to the particles. The biofilms were formed in the presence of nanoplastic particles under both controlled conditions and simulated biological conditions. The amount of biofilm formation was mainly affected by the surface characteristics under simulated biological conditions. In addition, the biofilm characteristics were influenced by the O/C and N/C ratios of the plastic particles with the impact of simulated biological fluids.</t>
  </si>
  <si>
    <t>10.1007/s11356-022-21468-4</t>
  </si>
  <si>
    <t>Nanoplastics; Biofilm; Secondary plastics; Bacteria; Human</t>
  </si>
  <si>
    <t>MICROPLASTICS; NANOPARTICLES; PARTICLES; SPECTROSCOPY; DEGRADATION; INFECTION; POLYMERS; SURFACES</t>
  </si>
  <si>
    <t>Istanbul Aydin University Council of Scientific Research Projects [2021/03]</t>
  </si>
  <si>
    <t>Istanbul Aydin University Council of Scientific Research Projects</t>
  </si>
  <si>
    <t>This work is financially supported by the Istanbul Aydin University Council of Scientific Research Projects (Approved 2021/03).</t>
  </si>
  <si>
    <t>5O6YU</t>
  </si>
  <si>
    <t>WOS:000814042300020</t>
  </si>
  <si>
    <t>Diet-related selectivity of macroplastic ingestion in green turtles (Chelonia mydas) in the eastern Mediterranean</t>
  </si>
  <si>
    <t>Understanding the drivers of key interactions between marine vertebrates and plastic pollution is now considered a research priority. Sea turtles are primarily visual predators, with the ability to discriminate according to colour and shape; therefore these factors play a role in feeding choices. Classification methodologies of ingested plastic currently do not record these variables, however here, refined protocols allow us to test the hypothesis that plastic is selectively ingested when it resembles the food items of green turtles (Chelonia mydas). Turtles in the eastern Mediterranean displayed strong diet-related selectivity towards certain types (sheet and threadlike), colours (black, clear and green) and shapes (linear items strongly preferred) of plastic when compared to the environmental baseline of plastic beach debris. There was a significant negative relationship between size of turtle (curved carapace length) and number/mass of plastic pieces ingested, which may be explained through naivety and/or ontogenetic shifts in diet. Further investigation in other species and sites are needed to more fully ascertain the role of selectivity in plastic ingestion in this marine vertebrate group.</t>
  </si>
  <si>
    <t>10.1038/s41598-019-48086-4</t>
  </si>
  <si>
    <t>Duncan, EM; Arrowsmith, JA; Bain, CE; Bowdery, H; Broderick, AC; Chalmers, T; Fuller, WJ; Galloway, TS; Lee, JH; Lindeque, PK; Omeyer, LCM; Snape, RTE; Godley, BJ</t>
  </si>
  <si>
    <t>Duncan, Emily M.; Arrowsmith, Jessica A.; Bain, Charlotte E.; Bowdery, Hannah; Broderick, Annette C.; Chalmers, Tierney; Fuller, Wayne J.; Galloway, Tamara S.; Lee, Jonathon H.; Lindeque, Penelope K.; Omeyer, Lucy C. M.; Snape, Robin T. E.; Godley, Brendan J.</t>
  </si>
  <si>
    <t>SCIENTIFIC REPORTS</t>
  </si>
  <si>
    <t>MARINE DEBRIS INGESTION; LOGGERHEAD SEA-TURTLES; GLOBAL RESEARCH PRIORITIES; CARETTA-CARETTA; PLASTIC DEBRIS; POLLUTION; BYCATCH; CONSERVATION; LITTER; MANAGEMENT</t>
  </si>
  <si>
    <t>[Duncan, Emily M.; Arrowsmith, Jessica A.; Bain, Charlotte E.; Bowdery, Hannah; Broderick, Annette C.; Chalmers, Tierney; Fuller, Wayne J.; Lee, Jonathon H.; Omeyer, Lucy C. M.; Snape, Robin T. E.; Godley, Brendan J.] Univ Exeter, Ctr Ecol &amp; Conservat, Marine Turtle Res Grp, Penryn TR10 9FE, Cornwall, England; [Duncan, Emily M.; Galloway, Tamara S.] Univ Exeter, Coll Life &amp; Environm Sci Biosci, Geoffrey Pope Bldg,Stocker Rd, Exeter EX4 4PY, Devon, England; [Duncan, Emily M.; Lindeque, Penelope K.] Plymouth Marine Lab, Marine Ecol &amp; Biodivers, Prospect Pl, Plymouth PL1 3DH, Devon, England; [Fuller, Wayne J.] Near East Univ, Fac Vet Med, Mersin 10, Nicosia, North Cyprus, Turkey; [Fuller, Wayne J.] Soc Protect Turtles, PK65,Mersin 10, Kyrenia, North Cyprus, Turkey</t>
  </si>
  <si>
    <t>University of Exeter; University of Exeter; Plymouth Marine Laboratory; Near East University</t>
  </si>
  <si>
    <t>Godley, BJ (corresponding author), Univ Exeter, Ctr Ecol &amp; Conservat, Marine Turtle Res Grp, Penryn TR10 9FE, Cornwall, England.</t>
  </si>
  <si>
    <t>b.j.godley@exeter.ac.uk</t>
  </si>
  <si>
    <t>Godley, Brendan J/A-6139-2009; Broderick, Annette A.C/A-4062-2013; Lindeque, Penelope/AAE-9193-2019</t>
  </si>
  <si>
    <t>Godley, Brendan J/0000-0003-3845-0034; Broderick, Annette/0000-0003-1444-1782; Omeyer, Lucy/0000-0002-1084-0578; Bain, Charlotte/0000-0003-4775-4822</t>
  </si>
  <si>
    <t>Roger de Freitas; Sea Life Trust; University of Exeter; European Commission project INDICIT II [11.0661/2018/794561/SUB/ENV.C2]; National Geographic Society; University of Exeter-Plymouth Marine Laboratory; EU Seventh Framework Programme [308370]; NERC [NE/L007010/1]; High Commission in Cyprus; British Residents Society of North Cyprus; Erwin Warth Foundation; Kuzey Kibris Turkcell; Karsiyaka Turtle Watch Turtle Watch; MAVA Foundation; Peoples Trust for Endangered Species; English School of Kyrenia, United States Agency for International Development, Turkish Cypriot Presidency; NERC [NE/L003988/1] Funding Source: UKRI</t>
  </si>
  <si>
    <t>Roger de Freitas; Sea Life Trust; University of Exeter; European Commission project INDICIT II; National Geographic Society(National Geographic Society); University of Exeter-Plymouth Marine Laboratory; EU Seventh Framework Programme; NERC(UK Research &amp; Innovation (UKRI)Natural Environment Research Council (NERC)); High Commission in Cyprus; British Residents Society of North Cyprus; Erwin Warth Foundation; Kuzey Kibris Turkcell; Karsiyaka Turtle Watch Turtle Watch; MAVA Foundation; Peoples Trust for Endangered Species; English School of Kyrenia, United States Agency for International Development, Turkish Cypriot Presidency; NERC(UK Research &amp; Innovation (UKRI)Natural Environment Research Council (NERC))</t>
  </si>
  <si>
    <t>The authors would like to thank all the volunteers who assisted with fieldwork as part of the Marine Turtle Conservation Project (MTCP), which is a collaboration between the Marine Turtle Research Group, The Society for the Protection of Turtles in North Cyprus (SPOT) and the North Cyprus Department of Environmental Protection. We thank the latter department for their continued permission and support. Field work in Cyprus is supported British High Commission in Cyprus, British Residents Society of North Cyprus, Erwin Warth Foundation, Kuzey Kibris Turkcell, Karsiyaka Turtle Watch Turtle Watch, MAVA Foundation, Peoples Trust for Endangered Species, Tony and Angela Wadsworth and the English School of Kyrenia, United States Agency for International Development, Turkish Cypriot Presidency. EMD receives generous support from Roger de Freitas, the Sea Life Trust and the University of Exeter. BJG, ACB and EMD are supported by European Commission project INDICIT II (11.0661/2018/794561/SUB/ENV.C2) and the National Geographic Society. BJG and PKL were awarded a University of Exeter-Plymouth Marine Laboratory collaboration award which supported EMD. We acknowledge funding to TSG from the EU Seventh Framework Programme under Grant Agreement 308370 and PKL and TSG receive funding from a NERC Discovery Grant (NE/L007010/1). The authors would also like to thank Emma Wood for her wonderful illustrations.</t>
  </si>
  <si>
    <t>NATURE PUBLISHING GROUP</t>
  </si>
  <si>
    <t>MACMILLAN BUILDING, 4 CRINAN ST, LONDON N1 9XW, ENGLAND</t>
  </si>
  <si>
    <t>2045-2322</t>
  </si>
  <si>
    <t>SCI REP-UK</t>
  </si>
  <si>
    <t>Sci Rep</t>
  </si>
  <si>
    <t>AUG 9</t>
  </si>
  <si>
    <t>Multidisciplinary Sciences</t>
  </si>
  <si>
    <t>Science &amp; Technology - Other Topics</t>
  </si>
  <si>
    <t>IP7ND</t>
  </si>
  <si>
    <t>Green Accepted, Green Published, gold</t>
  </si>
  <si>
    <t>WOS:000480233800033</t>
  </si>
  <si>
    <t>Marine litter occurrence in the river-influenced Black Sea coast</t>
  </si>
  <si>
    <t>Composition and abundance of anthropogenic litter were investigated on adjacent coastal beaches of three rivers flowing into the North-Western and Southern Black Sea. A single sampling survey was conducted during the period August - September 2019 within 4 sectors of sandy beaches with different level of urbanization situated at the Romanian and Turkish littoral of the Black Sea. The results of study evinced total of 3916 items with the maximum litter accumulations found on the Turkish coast. The most-represented items of anthropogenic litter in the evaluated samples were plastics, paper/cardboard, wood and glass/ceramic. Plastics made up the main share of litter on Black Sea coastal beaches near the river mouths (65-95%). The types of plastic items ranged from 15 to 54 among the sites, of which cigarette butts, plastic pieces (2.5 cm &gt; &lt; 50 cm), polystyrene and plastic caps/lids drinks constituted the highest number of artificial polymeric material. The characteristic of plastic litter composition of each selected Black Sea beach is attributable to river and human influences. Fragments and small plastic items were predominant for most of the beaches, including wild beaches and those that had lower levels of urbanization, confirming that riverine outflows have an important impact on plastic litter pollution on Black Sea coastal beaches.</t>
  </si>
  <si>
    <t>Stoica, E; Atabay, H; Bat, L; Ciuca, A; Creanga, S; Marin, D; Oztekin, A; Tanase, M; Tolun, L</t>
  </si>
  <si>
    <t>Stoica, Elena; Atabay, Hakan; Bat, Levent; Ciuca, Andreea; Creanga, Silvia; Marin, Dragos; Oztekin, Aysah; Tanase, Mihaela; Tolun, Leyla</t>
  </si>
  <si>
    <t>Beach litter; plastic pollution; river-influenced areas; Black Sea</t>
  </si>
  <si>
    <t>ABUNDANCE; DANUBE; DEBRIS</t>
  </si>
  <si>
    <t>[Stoica, Elena; Ciuca, Andreea; Creanga, Silvia; Marin, Dragos; Tanase, Mihaela] Natl Inst Marine Res &amp; Dev Grigore Antipa, 300 Mamaia Blvd, Constanta 900581, Romania; [Atabay, Hakan; Tolun, Leyla] TUBITAK Marmara Res Ctr, PB 21, TR-41470 Kocaeli, Turkey; [Bat, Levent; Oztekin, Aysah] Sinop Univ, Fac Fisheries, TR-57000 Sinop, Turkey</t>
  </si>
  <si>
    <t>National Institute for Marine Research &amp; Development Grigore Antipa; Turkiye Bilimsel ve Teknolojik Arastirma Kurumu (TUBITAK); Sinop University</t>
  </si>
  <si>
    <t>Stoica, E (corresponding author), Natl Inst Marine Res &amp; Dev Grigore Antipa, 300 Mamaia Blvd, Constanta 900581, Romania.</t>
  </si>
  <si>
    <t>estoica@alpha.rmri.ro</t>
  </si>
  <si>
    <t>Tanase, Mihaela Cosmina/ACX-8512-2022; Stoica, Elena/C-5392-2011</t>
  </si>
  <si>
    <t>ANEMONE project Assessing the vulnerability of the Black Sea marine ecosystem to human pressures - European Union [83530/20.07.2018]</t>
  </si>
  <si>
    <t>ANEMONE project Assessing the vulnerability of the Black Sea marine ecosystem to human pressures - European Union</t>
  </si>
  <si>
    <t>The study has been supported by the ANEMONE project Assessing the vulnerability of the Black Sea marine ecosystem to human pressures, funded by the European Union under ENI CBC Black Sea Basin Programme 2014-2020, grant contract 83530/20.07.2018.</t>
  </si>
  <si>
    <t>WOS:000637180200006</t>
  </si>
  <si>
    <t>EVALUATION OF SOME PLASTIC WASTES AS ADDITIVES TO REINFORCE HIGH-DENSITY FIBERBOARD (HDF)</t>
  </si>
  <si>
    <t>The use of plastic wastes in the forest product industry as an additive material is an alternative solution for reducing environmental pollution. In this study, different types of plastic wastes, polyethylene terephthalate (PET), polypropylene (PP), and polystyrene (PS), which have various characteristics and considerable potential as reinforcing materials for wood fibers, were added to high-density fiberboard (HDF) in different mixture ratios (25/75, 50/50, 75/25) with commercial fibers. Changes in some properties of the boards, including density, water absorption, thickness swelling, modulus of elasticity (MOE), bending strength (MOR), and internal bond strength, were determined. It was found that water absorption and thickness swelling ratios were lower in the boards with plastic waste additive than in the control samples. Moreover, the mechanical properties of the samples using plastic waste (except PET) were nearly as good as those of the control samples. The results indicate that PP and PS wastes can be considered for use in the reinforced HDF production process, with different mixture ratios for different usage areas.</t>
  </si>
  <si>
    <t>10.12841/wood.1644-3985.375.05</t>
  </si>
  <si>
    <t>Kulce, T; Ates, S; Olgun, C</t>
  </si>
  <si>
    <t>Kulce, Tuba; Ates, Saim; Olgun, Cagri</t>
  </si>
  <si>
    <t>DREWNO</t>
  </si>
  <si>
    <t>Plastic waste; reinforced HDF; dimensional stability; mechanical properties</t>
  </si>
  <si>
    <t>MECHANICAL-PROPERTIES; RECYCLED PLASTICS; COMPOSITES; IMPACT; HDPE; PERFORMANCE; FILLER</t>
  </si>
  <si>
    <t>[Kulce, Tuba] Kastamonu Univ, Forestry &amp; Nat Tourism Specializat Coordinatorshi, Kastamonu, Turkey; [Ates, Saim; Olgun, Cagri] Kastamonu Univ, Fac Forestry, Kastamonu, Turkey</t>
  </si>
  <si>
    <t>Kastamonu University; Kastamonu University</t>
  </si>
  <si>
    <t>Kulce, T (corresponding author), Kastamonu Univ, Forestry &amp; Nat Tourism Specializat Coordinatorshi, Kastamonu, Turkey.</t>
  </si>
  <si>
    <t>tubakulce@kastamonu.edu.tr; saimates@kastamonu.edu.tr; colgun@kastamonu.edu.tr</t>
  </si>
  <si>
    <t>OLGUN, Çağrı/AAB-2848-2020; KULCE, TUBA/ADG-7973-2022</t>
  </si>
  <si>
    <t>OLGUN, Çağrı/0000-0002-0811-0381; KULCE, TUBA/0000-0001-9107-8820</t>
  </si>
  <si>
    <t>(TURKEY) [ISFOR 2017-Isparta];  [KUBAP-03/2015-10]</t>
  </si>
  <si>
    <t xml:space="preserve">(TURKEY)(Turkiye Bilimsel ve Teknolojik Arastirma Kurumu (TUBITAK)); </t>
  </si>
  <si>
    <t>A part of this paper was presented in International Symposium on New Horizons in Forestry (ISFOR 2017-Isparta, TURKEY) and just abstract was published as a symposium proceeding. This study was supported by Kastamonu University, Scientific Research Projects Unit under grant KUBAP-03/2015-10</t>
  </si>
  <si>
    <t>INST TECHNOL DREWNA</t>
  </si>
  <si>
    <t>POSNAN</t>
  </si>
  <si>
    <t>WINIARSKA ST 1, POSNAN, 60-654, POLAND</t>
  </si>
  <si>
    <t>1644-3985</t>
  </si>
  <si>
    <t>Drewno</t>
  </si>
  <si>
    <t>Materials Science, Paper &amp; Wood</t>
  </si>
  <si>
    <t>Materials Science</t>
  </si>
  <si>
    <t>WZ6EQ</t>
  </si>
  <si>
    <t>WOS:000720058300002</t>
  </si>
  <si>
    <t>Beach Litter Pollution in Sinop Sarikum Lagoon Coast of the Southern Black Sea</t>
  </si>
  <si>
    <t>In the present study, marine litter pollution on Sarikum Lagoon coast which is one of the significant wetlands of the Black Sea was investigated. Beach litter survey was carried out seasonally between May 2015 and February 2016 according to ` Guidance on Monitoring of Marine Litter in European Seas' published by European Marine Strategy Framework Directive Technical Subgroup on Marine Litter. The average litter density was 1.512 +/- 0.578 items/m(2) and 31.875 +/- 10.684 g/m(2). The results indicated that the most common type of litter was plastic (95.61%) followed by glass/ceramics (1.46%), cloth/textile (1.31%) and the other material types (1.62%) and also foreign origin litter belonging to 25 countries mainly from neighbouring countries were found on the beach. Sarikum beach was classified as extremely dirty according to Clean Coast Index. It was observed that the litter in the region consisted mostly of mixed packaging items (41.12%) and unidentifiable litter items (33.84%). Our results show that the coast of Sarikum Lagoon exposed to a significant amount of marine litter pollution originated from land-based sources.</t>
  </si>
  <si>
    <t>10.4194/1303-2712-v20_3_04</t>
  </si>
  <si>
    <t>Oztekin, A; Bat, L; Baki, OG</t>
  </si>
  <si>
    <t>Oztekin, Aysah; Bat, Levent; Baki, Oylum Gokkurt</t>
  </si>
  <si>
    <t>Marine litter; Sinop; Plastic; Pollution; Black Sea</t>
  </si>
  <si>
    <t>MARINE LITTER; PLASTIC DEBRIS; MICROPLASTICS; ABUNDANCE; ENVIRONMENT</t>
  </si>
  <si>
    <t>[Oztekin, Aysah; Bat, Levent] Sinop Univ, Fisheries Fac, Dept Hydrobiol, TR-57000 Sinop, Turkey; [Baki, Oylum Gokkurt] Sinop Univ, Engn &amp; Architecture Fac, Environm Engn Dept, TR-57000 Sinop, Turkey</t>
  </si>
  <si>
    <t>Sinop University; Sinop University</t>
  </si>
  <si>
    <t>Bat, Levent/I-3519-2017; BAT, Levent/N-1915-2019</t>
  </si>
  <si>
    <t>Bat, Levent/0000-0002-2289-6691; BAT, Levent/0000-0002-2289-6691</t>
  </si>
  <si>
    <t>This study is financially supported by TUBITAK through the research project No: 115Y002. The authors thank to H.C. Oztekin, M. Bahtiyar, Dr. M. Kerim, F. Buyukdeveci and U. Ozsandikci for their help during sampling. This study was presented as an oral presentation with Turkish and English abstract in Turkish Marine Science Conference, 31 May-03 July 2016, Ankara-Turkey.</t>
  </si>
  <si>
    <t>IZ2OA</t>
  </si>
  <si>
    <t>WOS:000486924400004</t>
  </si>
  <si>
    <t>Selective Flotation Technique for Separation of PET and HDPE Used in Drinking Water Bottles</t>
  </si>
  <si>
    <t>Plastics have become the widely used materials because of their advantages, such as cheapness, endurance, lightness, and hygiene. However, they occur as solid waste masses within a short time when used in package industry. This causes waste and soil pollution, because they do not decompose. Polyethylene terephthalate (PET) and high-density polyethylene (HDPE) are the most important varieties of plastics that are usually used in the manufacturing drinking water bottles. Depending on their surface characteristics, these plastics can be separated from each other by flotation method. But, all plastics are naturally hydrophobic. In order to employ flotation for the separation process, one of these plastics is made hydrophilic, while the other remains hydrophobic. Plasticizer reagents are used to change the plastics' surface character and make them hydrophilic. The aim of this investigation is to research selective flotation of used PET and HDPE by utilizing Triton XL-100N and Diethylene Glycol Dibenzoate-type plasticizers at optimum temperature, pH, and conditioning time. As a result of this investigation, PET-HDPE concentrates having about 100% purities were obtained with 100% recovery, when the mixture of PET-HDPE was conditioned for 30min with 40kg/t NaOH at pH 10 and 1000g/t Dietilen Glycol Dibenzoate at 50 degrees C.</t>
  </si>
  <si>
    <t>10.1080/08827508.2010.483362</t>
  </si>
  <si>
    <t>Kangal, MO</t>
  </si>
  <si>
    <t>Kangal, Murat Olgac</t>
  </si>
  <si>
    <t>MINERAL PROCESSING AND EXTRACTIVE METALLURGY REVIEW</t>
  </si>
  <si>
    <t>flotation; HDPE; PET; recycling</t>
  </si>
  <si>
    <t>FROTH FLOTATION; PLASTICS; PVC</t>
  </si>
  <si>
    <t>Istanbul Tech Univ, Mineral Proc Engn Dept, Fac Mines, TR-34469 Istanbul, Turkey</t>
  </si>
  <si>
    <t>Istanbul Technical University</t>
  </si>
  <si>
    <t>Kangal, MO (corresponding author), Istanbul Tech Univ, Mineral Proc Engn Dept, Fac Mines, TR-34469 Istanbul, Turkey.</t>
  </si>
  <si>
    <t>kangal@itu.edu.tr</t>
  </si>
  <si>
    <t>Kangal, Murat Olgaç/D-5173-2014</t>
  </si>
  <si>
    <t>Kangal, Murat Olgaç/0000-0003-4993-064X</t>
  </si>
  <si>
    <t>0882-7508</t>
  </si>
  <si>
    <t>1547-7401</t>
  </si>
  <si>
    <t>MIN PROC EXT MET REV</t>
  </si>
  <si>
    <t>Miner. Process Extr. Metall. Rev.</t>
  </si>
  <si>
    <t>PII 927405251</t>
  </si>
  <si>
    <t>Metallurgy &amp; Metallurgical Engineering; Mining &amp; Mineral Processing</t>
  </si>
  <si>
    <t>659QU</t>
  </si>
  <si>
    <t>WOS:000282582800003</t>
  </si>
  <si>
    <t>Interactions of Ingested Polystyrene Microplastics with Heavy Metals (Cadmium or Silver) as Environmental Pollutants: A Comprehensive In Vivo Study Using Drosophila melanogaster</t>
  </si>
  <si>
    <t>Simple Summary Living organisms are now constantly exposed to PSMPLs, and besides their huge toxic potential, they can also act as carriers of various hazardous elements such as heavy metals. As a novelty, we managed to visualize the biodistribution of ingested PSMPLs throughout the fly's body, observing the interactions of such plastics with Drosophila intestinal lumen, and cellular uptake by hemocytes. This study is the first investigation to investigate the various biological effects of the interactions between ingested PSMPLs and heavy metals in Drosophila. Living organisms are now constantly exposed to microplastics and nanoplastics (MNPLs), and besides their toxic potential, they can also act as carriers of various hazardous elements such as heavy metals. Therefore, this study explored possible interactions between polystyrene microplastics (PSMPLs) and two metal pollutants: cadmium chloride (CdCl2) and silver nitrate (AgNO3). To better understand the extent of biological effects caused by different sizes of PSMPLs, we conducted in vivo experiments with five doses (from 0.01 to 10 mM) that contained polystyrene particles measuring 4, 10, and 20 mu m in size on Drosophila larvae. Additional experiments were performed by exposing larvae to two individual metals, CdCl2 (0.5 mM) and AgNO3 (0.5 mM), as well as combined exposure to PSMPLs (0.01 and 10 mM) and these metals, in an attempt to gain new insight into health risks of such co-exposure. Using transmission electron microscopy imaging, we managed to visualize the biodistribution of ingested PSMPLs throughout the fly's body, observing the interactions of such plastics with Drosophila intestinal lumen, cellular uptake by gut enterocytes, the passage of plastic particles through the intestinal barrier to leak into the hemolymph, and cellular uptake by hemocytes. Observations detected size and shape changes in the ingested PSMPLs. Egg-to-adult viability screening revealed no significant toxicity upon exposure to individual doses of tested materials; however, the combined exposure to plastic and metal particles induced aggravated genotoxic effects, including intestinal damage, genetic damage, and intracellular oxidative stress (ROS generation), with smaller sized plastic particles + metals (cadmium and silver) causing greater damage.</t>
  </si>
  <si>
    <t>10.3390/biology11101470</t>
  </si>
  <si>
    <t>Demir, FT; Akkoyunlu, G; Demir, E</t>
  </si>
  <si>
    <t>Demir, Fatma Turna; Akkoyunlu, Gokhan; Demir, Esref</t>
  </si>
  <si>
    <t>BIOLOGY-BASEL</t>
  </si>
  <si>
    <t>Drosophila melanogaster; polystyrene microplastics; heavy metals; cadmium; silver; uptake; Comet assay; oxidative stress; gut damage; carriers</t>
  </si>
  <si>
    <t>TRACE-METALS; HUMAN HEALTH; DNA-DAMAGE; NANOPLASTICS; EXPOSURE; MICRO; MODEL; VITRO; NANOPARTICLES; CONTAMINATION</t>
  </si>
  <si>
    <t>[Demir, Fatma Turna; Demir, Esref] Antalya Bilim Univ, Vocat Sch Hlth Serv, Dept Med Serv &amp; Tech, Med Lab Tech Programme, TR-07190 Antalya, Turkey; [Akkoyunlu, Gokhan] Akdeniz Univ, Fac Med, Dept Histol &amp; Embryol, TR-07070 Antalya, Turkey</t>
  </si>
  <si>
    <t>Antalya Bilim University; Akdeniz University</t>
  </si>
  <si>
    <t>Demir, E (corresponding author), Antalya Bilim Univ, Vocat Sch Hlth Serv, Dept Med Serv &amp; Tech, Med Lab Tech Programme, TR-07190 Antalya, Turkey.</t>
  </si>
  <si>
    <t>esref.demir@antalya.edu.tr</t>
  </si>
  <si>
    <t>Demir, Esref/F-5983-2018; Turna Demir, Fatma/V-3721-2019</t>
  </si>
  <si>
    <t>Turna Demir, Fatma/0000-0001-8045-8641; Demir, Esref/0000-0002-2146-7385</t>
  </si>
  <si>
    <t>2079-7737</t>
  </si>
  <si>
    <t>Biology-Basel</t>
  </si>
  <si>
    <t>Biology</t>
  </si>
  <si>
    <t>Life Sciences &amp; Biomedicine - Other Topics</t>
  </si>
  <si>
    <t>5O1WY</t>
  </si>
  <si>
    <t>WOS:000872273300001</t>
  </si>
  <si>
    <t>Cetaceans and marine litter in the Black Sea</t>
  </si>
  <si>
    <t>Marine litter, especially plastics, is an essential source of danger for cetaceans. Since the Black Sea is a semi-enclosed sea with numerous rivers flowing in, marine litter accumulated here pose a serious threat to the three cetacean species inhabiting the basin vulnerable. This paper reviews the studies in the Black Sea since 1956 on the relationship between marine litter and cetaceans. Impacts of marine litter on cetaceans, especially entanglement and ingestion, have been compared with similar cases elsewhere in the world. Since there are very few studies on the relationship of marine litter and cetaceans in the Black Sea, we cannot elucidate the effect of the increase in marine litter on cetaceans in recent years, thus further and continuous studies are needed.</t>
  </si>
  <si>
    <t>Tonay, AM; Gul, B; Dede, A; Ozturk, AA</t>
  </si>
  <si>
    <t>Tonay, Arda M.; Gul, Beril; Dede, Ayhan; Ozturk, Ayaka Amaha</t>
  </si>
  <si>
    <t>Marine mammals; cetacean; marine litter; plastics</t>
  </si>
  <si>
    <t>PLASTIC DEBRIS; INGESTION; ENVIRONMENT</t>
  </si>
  <si>
    <t>[Tonay, Arda M.; Dede, Ayhan; Ozturk, Ayaka Amaha] Istanbul Univ, Fac Aquat Sci, Ordu Cad 8, Istanbul, Turkey; [Tonay, Arda M.; Dede, Ayhan; Ozturk, Ayaka Amaha] Turkish Marine Res Fdn TUDAV, POB 10, Istanbul, Turkey; [Gul, Beril] Istanbul Univ, Inst Grad Studies Sci, Esnaf Hastanesi Binasi 4 Kat, Istanbul, Turkey</t>
  </si>
  <si>
    <t>Istanbul University; Turkish Marine Research Foundation; Istanbul University</t>
  </si>
  <si>
    <t>Tonay, AM (corresponding author), Istanbul Univ, Fac Aquat Sci, Ordu Cad 8, Istanbul, Turkey.;Tonay, AM (corresponding author), Turkish Marine Res Fdn TUDAV, POB 10, Istanbul, Turkey.</t>
  </si>
  <si>
    <t>atonay@istanbul.edu.tr</t>
  </si>
  <si>
    <t>Ozturk, Ayaka Amaha/AAD-6380-2020; Tonay, Arda M/GSI-9532-2022; Amaha Ozturk, Ayaka/AAB-8197-2022</t>
  </si>
  <si>
    <t xml:space="preserve">Tonay, Arda M/0000-0003-2718-9328; </t>
  </si>
  <si>
    <t>WOS:000637180200021</t>
  </si>
  <si>
    <t>Assessment of beach litter pollution in Adana Akyatan Lagoon Coast of the East Mediterranean</t>
  </si>
  <si>
    <t>This study is the first study to determine beach litter pollution in the Eastern Mediterranean region of Turkey. The pollution of beach litter were seasonally evaluated in a selected beach in the East Mediterranean Sea between August 2019 and April 2020. Beach litter survey was carried out seasonally according to 'Guidance on Monitoring of Marine Litter in European Seas' published by European Marine Strategy Framework Directive Technical Subgroup on Marine Litter. During the study, a total of 10.717 items and 229.29 kg were collected. The average litter abundance was 2.679 +/- 0.418 items/m(2) and 57.326 +/- 7.165 g/m(2). The results indicated that the most common type of litter were plastic and cloth/textile (84%) followed by paper/cardboard (56%), the unidentifiable (51%). Litter density showed significant seasonal differences with the highest in summer (P &lt; 0.05). Akyatan beach was classified as extremely dirty according to Clean Coast Index. It was observed that the litter in the region averagely consisted mostly of mixed packaging litter (23.75%), domestic litter (20%) and unclassified litter (16.2%) items. Our results show that the coast of Akyatan Lagoon exposed to a significant amount of marine litter pollution originated from land-based sources. This study provides further evidence that there is a significant litter pollution in the East Mediterranean Sea and that the main component are plastics, which pose a great treat to Mediterranean Sea environment.</t>
  </si>
  <si>
    <t>10.1016/j.marpolbul.2020.111943</t>
  </si>
  <si>
    <t>Marine litter; Plastic; Pollution; Akyatan Lagoon; Mediterranean</t>
  </si>
  <si>
    <t>QK3FW</t>
  </si>
  <si>
    <t>WOS:000620267400001</t>
  </si>
  <si>
    <t>POLYSTYRENE NANOPLASTICS TRIGGER TOXICITY ON TWO DIFFERENT AQUATIC ORGANISMS (BRACHIONUS PLICATILIS, DAPHNIA MAGNA)</t>
  </si>
  <si>
    <t>Micro and nano-sized plastic particles are found almost everywhere, especially the aquatic system and because of their size, they can be ingested as food by many organisms and these plastics which enter the food chain, raise a great concern. In this study, the effects of 50 nm diameter of polystyrene nanoplastics (PNPs) on Brachionus plicatilis and Daphnia magna were investigated. The acute toxicity tests were conducted on Brachionus plicatilis. According to the tests LC50 value was determined as 1.22 mg / mL (0.34-15.13, 95% confidence limits). Three parameters, tail length, tail intensity and tail moment were evaluated to detect genotoxic effect of PNPs on Daphnia magna with single cell gel electrophoresis (Comet). According to the result PNPs were increased three parameters compared to the control. As a result, PNPs have negative effects on both aquatic organisms Brachionus plicatilis and Daphnia magna.</t>
  </si>
  <si>
    <t>Berber, AA</t>
  </si>
  <si>
    <t>Berber, Ahmet Ali</t>
  </si>
  <si>
    <t>Daphnia magna; Brachionus plicatils; Nanoplastic; Genotoxicity; Comet; Polystyrene</t>
  </si>
  <si>
    <t>BISPHENOL-A; GENE-EXPRESSION; MICROPLASTICS; NANOPARTICLES; INGESTION; PARTICLES; ACCUMULATION; ACTIVATION; POLLUTANTS; TRANSPORT</t>
  </si>
  <si>
    <t>[Berber, Ahmet Ali] Canakkale Onsekiz Mart Univ, Vocat Sch Hlth Serv, Terzioglu Campus, TR-17100 Canakkale, Turkey</t>
  </si>
  <si>
    <t>Canakkale Onsekiz Mart University</t>
  </si>
  <si>
    <t>Berber, AA (corresponding author), Canakkale Onsekiz Mart Univ, Vocat Sch Hlth Serv, Terzioglu Campus, TR-17100 Canakkale, Turkey.</t>
  </si>
  <si>
    <t>Scientific and Technological Research Council of Turkey (TUBITAK) [115Y112, 115Y303]</t>
  </si>
  <si>
    <t>This study was funded by The Scientific and Technological Research Council of Turkey (TUBITAK) (Project Number: 115Y112 and 115Y303).</t>
  </si>
  <si>
    <t>IQ1LN</t>
  </si>
  <si>
    <t>WOS:000480511400053</t>
  </si>
  <si>
    <t>Marine litter composition and sources on coasts of south-eastern Black Sea: A long-term case study</t>
  </si>
  <si>
    <t>Long-term monitoring of marine litter composition and density has been conducted between 2009 and 2018 on eleven beaches of Trabzon city located on the south-eastern Black Sea coast in Turkey. All unnatural litter items were collected from randomly selected transects on the beaches. A total of litter items 4138 in number and 108.75 kg in weight were collected during the study. The highest litter density was 22.00 items/m(2) which is categorized as extremely dirty by Clean-Coast Index. The ANOVA results revealed that there was a significant difference in density between years (p &lt; 0.05). However, no significant difference was found between stations, substratum and whether the station is located on a river mouth (p &gt; 0.05). Plastic (79.69%) was the most commonly found litter followed by metal (7.37%) and glass (5.58%). The main source of the litter items was found to be river transportation (21.96%). (C) 2020 Elsevier Ltd. All rights reserved.</t>
  </si>
  <si>
    <t>10.1016/j.wasman.2020.01.032</t>
  </si>
  <si>
    <t>Terzi, Y; Eruz, C; Ozseker, K</t>
  </si>
  <si>
    <t>Terzi, Yahya; Eruz, Coskun; Ozseker, Koray</t>
  </si>
  <si>
    <t>WASTE MANAGEMENT</t>
  </si>
  <si>
    <t>Plastic; Black Sea; Source; Pollution; Composition</t>
  </si>
  <si>
    <t>PLASTIC DEBRIS; BEACH LITTER; ABUNDANCE; IMPACTS; WASTE; BAY; ENVIRONMENT; CALIFORNIA</t>
  </si>
  <si>
    <t>[Terzi, Yahya; Eruz, Coskun] Karadeniz Tech Univ, Fac Marine Sci, Trabzon, Turkey; [Ozseker, Koray] Karadeniz Tech Univ, Inst Marine Sci &amp; Technol, Trabzon, Turkey</t>
  </si>
  <si>
    <t>Terzi, Y (corresponding author), Karadeniz Tech Univ, Fac Marine Sci, Trabzon, Turkey.</t>
  </si>
  <si>
    <t>Terzi, Yahya/X-5115-2019; ERÜZ, coskun/W-2374-2017; Terzi, Yahya/CAC-0027-2022</t>
  </si>
  <si>
    <t>Terzi, Yahya/0000-0002-6367-5000; ERÜZ, coskun/0000-0002-2384-9010; Terzi, Yahya/0000-0002-6367-5000</t>
  </si>
  <si>
    <t>0956-053X</t>
  </si>
  <si>
    <t>1879-2456</t>
  </si>
  <si>
    <t>WASTE MANAGE</t>
  </si>
  <si>
    <t>Waste Manage.</t>
  </si>
  <si>
    <t>KW0IL</t>
  </si>
  <si>
    <t>WOS:000520856700015</t>
  </si>
  <si>
    <t>Investigation of thermal treatment on selective separation of post consumer plastics prior to froth flotation</t>
  </si>
  <si>
    <t>Plastics have become the widely used materials because of their advantages, such as cheapness, endurance, lightness, and hygiene. However, they cause waste and soil pollution and they do not easily decompose. Many promising technologies are being investigated for separating mixed thermoplastics, but they are still uneconomical and unreliable. Depending on their surface characteristics, these plastics can be separated from each other by flotation method which is useful mineral processing technique with its low cost and simplicity. The main objective of this study is to investigate the flotation characteristics of PET and PVC and determine the effect of plasticizer reagents on efficient plastic separation. For that purpose, various parameters such as pH, plasticizer concentration, plasticizer type, conditioning temperature and thermal conditioning were investigated. As a result, PET particles were floated with 95.1% purity and 65.3% efficiency while PVC particles were obtained with 98.1% purity and 65.3% efficiency. (C) 2013 Elsevier Ltd. All rights reserved.</t>
  </si>
  <si>
    <t>10.1016/j.wasman.2013.05.006</t>
  </si>
  <si>
    <t>Guney, A; Poyraz, MI; Kangal, O; Burat, F</t>
  </si>
  <si>
    <t>Guney, Ali; Poyraz, M. Ibrahim; Kangal, Olgac; Burat, Firat</t>
  </si>
  <si>
    <t>Polymer; PET; PVC; Plasticizer; Thermal effect</t>
  </si>
  <si>
    <t>PVC; PET</t>
  </si>
  <si>
    <t>[Guney, Ali; Poyraz, M. Ibrahim; Kangal, Olgac; Burat, Firat] Istanbul Tech Univ, Fac Mines, Mineral Proc Engn Dept, TR-34469 Istanbul, Turkey</t>
  </si>
  <si>
    <t>Kangal, O (corresponding author), Istanbul Tech Univ, Fac Mines, Mineral Proc Engn Dept, TR-34469 Istanbul, Turkey.</t>
  </si>
  <si>
    <t>Burat, Fırat/ABB-1009-2020; Güney, Ali/ABB-1349-2020; Kangal, Murat Olgaç/D-5173-2014</t>
  </si>
  <si>
    <t>Burat, Fırat/0000-0001-7051-0063; Güney, Ali/0000-0003-0042-130X; Kangal, Murat Olgaç/0000-0003-4993-064X</t>
  </si>
  <si>
    <t>212TI</t>
  </si>
  <si>
    <t>WOS:000324005300002</t>
  </si>
  <si>
    <t>Synthesis of a New Flocculant from Waste Polystyrene: Plastic Recycling Industry Wastewater Treatability</t>
  </si>
  <si>
    <t>HDPE (high-density polyethylene), LDPE (low-density polyethylene), PET (polyethylene terephthalate), and PP (polypropylene) plastic washing wastewater contains high concentrations of turbidity, COD (chemical oxygen demand), SS (suspended solids), and oil grease that lead to an increase in the pollution load of the wastewater treatment plant. Plastics washed in plastic recycling plants produce large volumes of wastewater. In this study, the use of sulfonated polystyrene as a flocculant for the treatment of these wastewaters, which is not found in the literature, was studied. A flocculant was synthesized from waste polystyrene (FSPS) by sulfonation, by cyclohexane, H2SO4, and P2O5 modification. This flocculant was used in the coagulation-flocculation treatment of plastic washing wastewater. Turbidity, COD, SS, and oil grease were determined for the supernatant. Effects of pH were studied at pH 3-13 intervals. Alum and FeCl3 were used as conventional coagulants at 15-1000 mg/L doses. The FSPS and polyelectrolyte (PEL) were used as flocculants at between 5 and 50 mg/L dosage. For HDPE washing wastewater (FeCl3 + FSPS), turbidity, COD, SS, and oil grease removal efficiencies are 96%, 92%, 86%, and 50%, respectively. For LDPE washing wastewater (FeCl3 + FSPS), turbidity, COD, SS, and oil grease removal efficiencies are 99%, 60%, 35%, and 75%, respectively. For PET washing wastewater (alum + FSPS), turbidity, COD, SS, and oil grease removal efficiencies are 94%, 70%, 99%, and 55%, respectively. For PP washing wastewater (alum + FSPS), turbidity, COD, SS, and oil grease removal efficiencies are 98%, 82%, 93%, and 89%, respectively. It was observed that treatment of synthesized FSPS flocculant resulted in higher or similar results of PEL.</t>
  </si>
  <si>
    <t>10.1007/s11270-023-06104-2</t>
  </si>
  <si>
    <t>Ozdemir, NC; Yel, E</t>
  </si>
  <si>
    <t>Ozdemir, Nihan Canan; Yel, Esra</t>
  </si>
  <si>
    <t>Plastic washing wastewater; Waste polystyrene sulfonation; Coagulation-flocculation; Turbidity; COD; Oil grease</t>
  </si>
  <si>
    <t>REMOVAL; DISPOSAL; CONCRETE</t>
  </si>
  <si>
    <t>[Ozdemir, Nihan Canan] Mersin Univ, Environm Engn Dept, Mersin, Turkiye; [Yel, Esra] Konya Tech Univ, Environm Engn Dept, Konya, Turkiye</t>
  </si>
  <si>
    <t>Mersin University; Konya Technical University</t>
  </si>
  <si>
    <t>Ozdemir, NC (corresponding author), Mersin Univ, Environm Engn Dept, Mersin, Turkiye.</t>
  </si>
  <si>
    <t>n.cananozdemir@mersin.edu.tr; eyel@ktun.edu.tr</t>
  </si>
  <si>
    <t>TUBITAK [114Y116]</t>
  </si>
  <si>
    <t>AcknowledgementsThe authors thank TUBITAK for financial support (Grant Number: 114Y116) for this research.</t>
  </si>
  <si>
    <t>8D8DZ</t>
  </si>
  <si>
    <t>WOS:000918518700001</t>
  </si>
  <si>
    <t>Solid waste composition and COVID-19-induced changes in an inland water ecosystem in Turkey</t>
  </si>
  <si>
    <t>The composition and abundance of solid waste and the effect of COVID-19 measures were studied in an inland water ecosystem in Turkey. Solid waste items were collected annually for 5 years from 2017 to 2021 from seven stations located in Borcka Dam Lake (B1-B4) and Murgul Stream (M1-M3) in the Artvin Province. The highest densities by number and weight were recorded at M3 in 2020 (5.72 items/m(2)) and M1 in 2020 (0.39 kg/m(2)), respectively. However, no significant difference in density was recorded (p &lt; 0.05) between the years. Plastic was the most abundant waste material by number of items in all the stations with a percentage contribution varying between 25.47 and 88.89%. There was a considerable increase in medical items during the COVID-19 pandemic in 2020-2021. Nonmetric multidimensional scaling (NMDS) and ANOSIM results revealed visually and statistically significant differences in solid waste composition between the years and stations. The dissimilarity between the years was driven by plastic and medical waste. The main sources of solid waste were river transportation (22.93%), improper disposal (20.74%), aquaculture activities (16.42%), and recreational and tourism activities (14.72%). The results of our study can be a baseline for transportation models, local administrations, and non-governmental organizations. Besides, the current waste management measures in Turkey are not effective in preventing waste accumulation in inland aquatic systems such as the Borcka Dam Lake and Murgul Stream. Furthermore, these findings indicate that the COVID-19 pandemic influenced solid waste composition and increased its abundance in the study area.</t>
  </si>
  <si>
    <t>10.1007/s11356-022-19750-6</t>
  </si>
  <si>
    <t>Ozseker, K; Terzi, Y; Eruz, C</t>
  </si>
  <si>
    <t>Ozseker, Koray; Terzi, Yahya; Eruz, Coskun</t>
  </si>
  <si>
    <t>Pollution; Litter; Plastic; Face mask; Single use; Tourism; Lake; River</t>
  </si>
  <si>
    <t>EASTERN BLACK-SEA; MARINE LITTER; PLASTICS</t>
  </si>
  <si>
    <t>[Ozseker, Koray] Karadeniz Tech Univ, Inst Marine Sci &amp; Technol, Trabzon, Turkey; [Terzi, Yahya; Eruz, Coskun] Karadeniz Tech Univ, Fac Marine Sci, Trabzon, Turkey</t>
  </si>
  <si>
    <t>Ozseker, K (corresponding author), Karadeniz Tech Univ, Inst Marine Sci &amp; Technol, Trabzon, Turkey.</t>
  </si>
  <si>
    <t>ozseker.koray@gmail.com</t>
  </si>
  <si>
    <t>ERÜZ, coskun/W-2374-2017; Terzi, Yahya/CAC-0027-2022</t>
  </si>
  <si>
    <t>ERÜZ, coskun/0000-0002-2384-9010; Terzi, Yahya/0000-0002-6367-5000</t>
  </si>
  <si>
    <t>3O4UX</t>
  </si>
  <si>
    <t>Bronze, Green Published</t>
  </si>
  <si>
    <t>WOS:000770744900014</t>
  </si>
  <si>
    <t>Origin and abundance of marine litter along sandy beaches of the Turkish Western Black Sea Coast</t>
  </si>
  <si>
    <t>Beach debris abundance was estimated from surveys on 10 beaches of the Turkish Western Black Sea Coast. Debris was collected from 20 m long transects during four different seasons; sorted and categorized by type, usage and origin. Litter density varied from 0.085 to 5.058 items m(-2). Debris was mainly composed of unidentifiable small size (2-7 cm) plastic pieces and beverage-related litter such as bottles and bottle caps. About half of the labeled litter was of foreign origin, including 25 different countries, 23% of which are in the Black Sea region. The south-western Black Sea Coast seems to receive foreign litter from two main sources: land-based debris from the neighboring countries and seaborne debris due to international shipping. Standardized methodology and indicators need to be designated all over the Black Sea basin in order to quantify and qualify coastal litter pollution, monitor compliance with MARPOL and develop regionally effective mitigation measures. (C) 2012 Elsevier Ltd. All rights reserved.</t>
  </si>
  <si>
    <t>10.1016/j.marenvres.2012.12.006</t>
  </si>
  <si>
    <t>Topcu, NE; Tonay, AM; Dede, A; Ozturk, AA; Ozturk, B</t>
  </si>
  <si>
    <t>Topcu, Nur Eda; Tonay, Arda M.; Dede, Ayhan; Ozturk, Ayaka A.; Ozturk, Bayram</t>
  </si>
  <si>
    <t>Marine debris; Litter; Ocean dumping; Pollution monitoring; Beaches; Black Sea</t>
  </si>
  <si>
    <t>PLASTIC DEBRIS; SOLID-WASTE; MICROPLASTICS; CONTAMINATION; ENVIRONMENT; POLLUTION; GULF</t>
  </si>
  <si>
    <t>[Topcu, Nur Eda] Istanbul Univ, Fac Fisheries, TR-34130 Laleli Istanbul, Turkey; Turkish Marine Res Fdn TUDAV, Beykoz Istanbul, Turkey</t>
  </si>
  <si>
    <t>Istanbul University; Turkish Marine Research Foundation</t>
  </si>
  <si>
    <t>Topcu, NE (corresponding author), Istanbul Univ, Fac Fisheries, Ordu Cad 200, TR-34130 Laleli Istanbul, Turkey.</t>
  </si>
  <si>
    <t>edatopcu@istanbul.edu.tr</t>
  </si>
  <si>
    <t>Öztürk, Bayram/AAD-6228-2020; Tonay, Arda M/GSI-9532-2022; Nemlioglu, Semih/D-8722-2019; Ozturk, Ayaka Amaha/ABI-4939-2020; Dede, Ayhan/AAD-2891-2020; NEMLIOGLU, SEMIH/AAH-8909-2019; Tonay, Arda M./AAF-5092-2019; Ozturk, Ayaka Amaha/AAD-6380-2020; Topçu, Nur Eda/P-9834-2015; Amaha Ozturk, Ayaka/AAB-8197-2022</t>
  </si>
  <si>
    <t xml:space="preserve">Öztürk, Bayram/0000-0001-7844-2448; Tonay, Arda M/0000-0003-2718-9328; Nemlioglu, Semih/0000-0002-9938-4651; Dede, Ayhan/0000-0002-7712-615X; Tonay, Arda M./0000-0003-2718-9328; Topçu, Nur Eda/0000-0003-2734-2695; </t>
  </si>
  <si>
    <t>Commission on the Protection of the Black Sea Against Pollution (BSC); Turkish Marine Research Foundation (TUDAV); United Nations Environment Programme (UNEP) [BSC-ML/2008]</t>
  </si>
  <si>
    <t>Commission on the Protection of the Black Sea Against Pollution (BSC); Turkish Marine Research Foundation (TUDAV); United Nations Environment Programme (UNEP)</t>
  </si>
  <si>
    <t>The authors would like to thank the Commission on the Protection of the Black Sea Against Pollution (BSC), United Nations Environment Programme (UNEP) (Project no: BSC-ML/2008) and Turkish Marine Research Foundation (TUDAV) for financial support and several persons for help in collecting debris with hard weather conditions. In particular, we thank M. Eryalcin, P. Korkmazel, E. Tutuk, G. Guman, E. Dede, M. Topcu, B. Ozsoz, T. Turan and Istanbul University Faculty of Fisheries volunteer students. Also, many thanks to all schools, fishing ports and cooperatives that accepted to expose awareness posters we prepared on marine litter pollution. Poster design from P. Korkmazel and technical support from Z. Dorak are exclusively acknowledged.</t>
  </si>
  <si>
    <t>111EO</t>
  </si>
  <si>
    <t>WOS:000316504300003</t>
  </si>
  <si>
    <t>Characterisation of wastes collected from beaches, coastlines, marine surface cleaning processes and ships: A case study of Istanbul</t>
  </si>
  <si>
    <t>Marine waste management is crucial for Istanbul because of the significant location for intercontinental transition, international trade, tourism, industry and shipping. This study is the first one realised in Turkey for the detailed characterisation of marine waste. The amount and characteristics of solid wastes originating from beaches, coastlines, sea surface cleaning processes and ships (both cargo and cruise ships) were determined. It was observed that marine wastes includes a significant amount of recyclable materials. Although, it was ascertained that the amount and composition of waste differs according to the collecting sources, the majority of wastes are composed of different types of plastics. The average calorific value of marine waste was determined as 2500kcalkg(-1), which is higher than that of mixed municipal solid waste. There is a lack of studies on the pathways of disposal alternatives of marine waste after collection. As landfilling is the common pathway for disposal after collecting, it is clear that recycle/reuse and energy recovery options are possible for marine waste.</t>
  </si>
  <si>
    <t>10.1177/0734242X19838619</t>
  </si>
  <si>
    <t>Bilgili, MS; Adar, E; Yildiz, S; Sezer, K</t>
  </si>
  <si>
    <t>Bilgili, Mehmet Sinan; Adar, Elanur; Yildiz, Senot; Sezer, Kadir</t>
  </si>
  <si>
    <t>WASTE MANAGEMENT &amp; RESEARCH</t>
  </si>
  <si>
    <t>Marine waste; recyclables; plastics; combustible waste; calorific value</t>
  </si>
  <si>
    <t>SPATIAL-DISTRIBUTION; LITTER COMPOSITION; PLASTIC DEBRIS; ABUNDANCE; POLLUTION; ENVIRONMENT; SHORES</t>
  </si>
  <si>
    <t>[Bilgili, Mehmet Sinan] Yildiz Tech Univ, Fac Civil Engn, Dept Environm Engn, Istanbul, Turkey; [Adar, Elanur] Artvin Coruh Univ, Fac Engn, Dept Environm Engn, Artvin, Turkey; [Yildiz, Senot] UGETAM, Istanbul Appl Gas &amp; Energy Technol Res Engn Ind T, Istanbul, Turkey; [Sezer, Kadir] ISTAC, Istanbul Environm Managemet Ind &amp; Trade Inc, Istanbul, Turkey</t>
  </si>
  <si>
    <t>Yildiz Technical University; Artvin Coruh University; ISTAC</t>
  </si>
  <si>
    <t>Bilgili, MS (corresponding author), Yildiz Tech Univ, Fac Civil Engn, Dept Environm Engn, Istanbul, Turkey.</t>
  </si>
  <si>
    <t>mbilgili@yildiz.edu.tr</t>
  </si>
  <si>
    <t>Adar, Elanur/AAG-6282-2019; Bilgili, Mehmet Sinan/AAZ-6120-2020</t>
  </si>
  <si>
    <t>Bilgili, Mehmet Sinan/0000-0002-5547-1841</t>
  </si>
  <si>
    <t>Istanbul Istanbul Environmental Management Industry and Trade Inc. (ISTAC)</t>
  </si>
  <si>
    <t>The authors disclosed receipt of the following financial support for the research, authorship, and/or publication of this article: This study is financially supported by Istanbul Istanbul Environmental Management Industry and Trade Inc. (ISTAC).</t>
  </si>
  <si>
    <t>SAGE PUBLICATIONS LTD</t>
  </si>
  <si>
    <t>1 OLIVERS YARD, 55 CITY ROAD, LONDON EC1Y 1SP, ENGLAND</t>
  </si>
  <si>
    <t>0734-242X</t>
  </si>
  <si>
    <t>1096-3669</t>
  </si>
  <si>
    <t>WASTE MANAGE RES</t>
  </si>
  <si>
    <t>Waste Manage. Res.</t>
  </si>
  <si>
    <t>IH3PQ</t>
  </si>
  <si>
    <t>WOS:000474405200007</t>
  </si>
  <si>
    <t>Abundance and composition of marine litter on the coasts of the Dardanelles (Canakkale Strait, Turkey)</t>
  </si>
  <si>
    <t>The amount of human-origin litter in sea surface water, sediment, and beaches has been increasing for decades. Initially described in marine coastal systems in the 1960s, marine litter (ML) is nowadays commonly observed in all marine systems. There is even a gigantic island consisting of garbage in the gyre area of the Atlantic Ocean. In relation to this significant problem, ML was collected from seven stations on beaches along the Dardanelles for the first time in the period May 2017-May 2018 and was seasonally and regionally analyzed in terms of densities and weights. ML was categorized by material type (plastic, rubber, paper, etc.) and field of use (mixed packaging wastes, personal use products, fishing wastes, etc.). Total numbers and weights of ML during the study were 5751 items and 115.7 kg in an area of 15,980 m(2), respectively. Density and weight of ML ranged from 0.050 to 1.182 items/m(2) and from 0.446 to 78.46 g/m(2), respectively. The main ML component was plastic items in terms of both density (90.95%) and weight (53.76%) according to material type. Additionally, mixed packaging wastes (MPW) were the most common ML items in terms of density (82.14%) and weight (49.38%) according to usage. According to the clean-coast index, while Kilya (St.2) and Kepez (St.5) beaches were dirty, Seddulbahir (St.1) beach was clean. The beaches in other stations were neither dirty nor clean (medium) according to the index. At the end of the study, suggestions for a regional strategy were made.</t>
  </si>
  <si>
    <t>10.1007/s10661-022-10511-z</t>
  </si>
  <si>
    <t>Yenici, E; Turkoglu, M</t>
  </si>
  <si>
    <t>Yenici, Elif; Turkoglu, Muhammet</t>
  </si>
  <si>
    <t>canakkale Strait (Dardanelles); Litter; Plastics; Coasts; Pollution</t>
  </si>
  <si>
    <t>PLASTIC DEBRIS; SPATIAL-DISTRIBUTION; ENVIRONMENT; BEACHES</t>
  </si>
  <si>
    <t>[Yenici, Elif] Minist Agr &amp; Forestry, Canakkale Div Directorate Nat Conservat &amp; Natl Pk, Canakkale, Turkiye; [Turkoglu, Muhammet] Canakkale Onsekiz Mart Univ, Dept Fisheries Basic Sci, Fac Marine Sci &amp; Technol, Marine Biol Sec, Terzioglu Campus, TR-17020 Canakkale, Turkiye</t>
  </si>
  <si>
    <t>Turkoglu, M (corresponding author), Canakkale Onsekiz Mart Univ, Dept Fisheries Basic Sci, Fac Marine Sci &amp; Technol, Marine Biol Sec, Terzioglu Campus, TR-17020 Canakkale, Turkiye.</t>
  </si>
  <si>
    <t>mturkoglu@comu.edu.tr</t>
  </si>
  <si>
    <t>Canakkale Onsekiz Mart University (COMU) Scientific Research Projects (BAP) [FDK-2017-1227]</t>
  </si>
  <si>
    <t>Canakkale Onsekiz Mart University (COMU) Scientific Research Projects (BAP)(Canakkale Onsekiz Mart University)</t>
  </si>
  <si>
    <t>This study was financially supported by Canakkale Onsekiz Mart University (COMU) Scientific Research Projects (BAP) (Project code: FDK-2017-1227).</t>
  </si>
  <si>
    <t>5L9VC</t>
  </si>
  <si>
    <t>WOS:000870754800003</t>
  </si>
  <si>
    <t>Marine debris in bottom trawl catches and their effects on the selectivity grids in the north eastern Mediterranean</t>
  </si>
  <si>
    <t>In this study composition of marine debris and their blocking potential on the selectivity grid systems deployed on demersal trawls were investigated in the north eastern Mediterranean. For this, a total of 132 hauls were examined in two fishing season between 20 September 2010 and 19 February 2012. Results showed that plastic items were the most abundant debris (73% in terms of weight) and they were followed by metals (10%). Because of plastics and packing debris, it is highly probable that grids may have been blocked in 85% of trawl hauls. The bathymetric and geographical variability in the quantity of debris were evaluated, and concluded that particularly in some areas where direction of currents and bottom topography favor deposition, such devices may easily be rendered ineffective by the plastics and packing debris in particular. To solve this problem, several solution proposals are submitted. (C) 2014 Elsevier Ltd. All rights reserved.</t>
  </si>
  <si>
    <t>10.1016/j.marpolbul.2014.02.017</t>
  </si>
  <si>
    <t>Eryasar, AR; Ozbilgin, H; Gucu, AC; Sakman, S</t>
  </si>
  <si>
    <t>Eryasar, Ahmet Raif; Ozbilgin, Huseyin; Gucu, Ali Cemal; Sakman, Serdar</t>
  </si>
  <si>
    <t>Bottom trawl; Marine debris; Selectivity grid; Plastic; Mersin Bay</t>
  </si>
  <si>
    <t>SEA-FLOOR; LITTER; GREECE; ABUNDANCE; GULFS; BED</t>
  </si>
  <si>
    <t>[Eryasar, Ahmet Raif; Ozbilgin, Huseyin] Mersin Univ, Fac Fisheries, TR-33169 Mersin, Turkey; [Gucu, Ali Cemal; Sakman, Serdar] Middle E Tech Univ, Inst Marine Sci, TR-33791 Mersin, Turkey</t>
  </si>
  <si>
    <t>Eryasar, AR (corresponding author), Mersin Univ, Fac Fisheries, Yenisehir Campus, TR-33169 Mersin, Turkey.</t>
  </si>
  <si>
    <t>raiferyasar@gmail.com</t>
  </si>
  <si>
    <t>Özbilgin, Hüseyin/J-2521-2015; Gücü, Ali/ABA-3135-2020; Eryasar, Ahmet Raif/HIZ-6636-2022; GUCU, Ali Cemal/ABI-4301-2020</t>
  </si>
  <si>
    <t>Özbilgin, Hüseyin/0000-0002-7277-0608; GUCU, Ali Cemal/0000-0001-9727-5358; Sakinan, Serdar/0000-0002-5651-2836</t>
  </si>
  <si>
    <t>Scientific and Technological Research Council of Turkey [TUBITAK 1090684]</t>
  </si>
  <si>
    <t>We would like to thank the captain and crews of the commercial trawler Azim. Thanks are also extended to Dr. G. Gokce, Dr. A.S. Bozaoglu, E. Kalecik, and students from Faculty of Fisheries in Mersin University for their help during the sea trials. This study was financed by the Scientific and Technological Research Council of Turkey (TUBITAK 1090684).</t>
  </si>
  <si>
    <t>APR 15</t>
  </si>
  <si>
    <t>AG7VI</t>
  </si>
  <si>
    <t>WOS:000335626500022</t>
  </si>
  <si>
    <t>Seasonal investigation of marine litter on beaches of Urla (Izmir/Turkey)</t>
  </si>
  <si>
    <t>In this study, types and quantities of marine litter in Urla (Izmir) Kum Denizi Beach and Demircili Koyu Beach were determined seasonally between October 2017 and October 2018. At the beaches, marine litter larger than 2,5 centimetres were collected with 3 people along 2-meter lines, which are determined to be parallel to the sea. The collected litters were classified according to the United Nations Environment Program (UNEP, 2009), quantities were determined and the pollution status of the beaches was evaluated according to the Clean Coast Index. A total of 1,265 litter from Kum Denizi Beach and 2,099 litter from Demircili Koyu Beach were collected. In total, 3,364 pieces of litter weighing 90.81 kg were collected from the two beaches. Among the litters collected, plastic litter was found to be dominant with 2,794 pieces. This was followed by 145 metals, 141 papers, 110 fabrics, 87 foam plastics, 42 wood, 32 glass, 8 other litters and 5 rubber. Given the seasonal averages of the clean coast index values; Kum Denizi Beach was found to be clean and Demircili Koyu Beach was found to be moderately polluted.YYYY</t>
  </si>
  <si>
    <t>10.12714/egejfas.38.1.06</t>
  </si>
  <si>
    <t>Gungoren, Z; Basaran, A</t>
  </si>
  <si>
    <t>Gungoren, Zeynep; Basaran, Asli</t>
  </si>
  <si>
    <t>Marine litter; coastal wastes; plastic wastes; Aegean coast; Urla</t>
  </si>
  <si>
    <t>SPATIAL-DISTRIBUTION; ABUNDANCE; DEBRIS; COAST; ISLAND</t>
  </si>
  <si>
    <t>[Gungoren, Zeynep] Ege Univ, Fen Bilimleri Enst, Cevre Bilimleri Anabilim Dali, TR-35100 Izmir, Turkey; [Basaran, Asli] Ege Univ, Su Urunleri Fak, Su Uninleri Temel Bilimler Bolumu, TR-35100 Izmir, Turkey</t>
  </si>
  <si>
    <t>Ege University; Ege University</t>
  </si>
  <si>
    <t>Gungoren, Z (corresponding author), Ege Univ, Fen Bilimleri Enst, Cevre Bilimleri Anabilim Dali, TR-35100 Izmir, Turkey.</t>
  </si>
  <si>
    <t>zeynepgungoren8@gmail.com</t>
  </si>
  <si>
    <t>RU0SY</t>
  </si>
  <si>
    <t>WOS:000644863800006</t>
  </si>
  <si>
    <t>Investigation on the microfiber release under controlled washings from the knitted fabrics produced by recycled and virgin polyester yarns</t>
  </si>
  <si>
    <t>The ubiquity of plastics in the environment poses a significant risk for both human health and natural ecosystems. Especially the fiber type plastics have a quite high share among these plastics. The textile industry is one of the most important sources of fibers. Recycling is one of the solutions offered to reduce the environmental impact of textile materials. In this study, the release of fibers from the knitted fabrics produced from recycled (R-PET) and virgin polyester (PES) yarns was investigated. Knitted fabrics were washed three times under the same washing conditions according to the TS EN ISO 105-C06 standard by James H. Heal Gyrowash washing machine. It was determined that R-PET knitted fabrics released almost 2.3 times more fibers (4489.93 fiber L-1; 368094.07 fiber kg(-1)) than the virgin PES fabrics (2034.26 fiber L-1; 167436.58 fiber kg(-1)). The amount of the released fibers showed a significant reduction with an increase in the number of washing cycles for both R-PET and virgin PES samples. This study showed that the knitted fabrics produced from R-PET released more fiber having the shorter length as compared to virgin PES.</t>
  </si>
  <si>
    <t>10.1080/00405000.2020.1741760</t>
  </si>
  <si>
    <t>Ozkan, I; Gundogdu, S</t>
  </si>
  <si>
    <t>Ozkan, Ilkan; Gundogdu, Sedat</t>
  </si>
  <si>
    <t>JOURNAL OF THE TEXTILE INSTITUTE</t>
  </si>
  <si>
    <t>Recycling; fiber release; microfiber; domestic washing; polyester</t>
  </si>
  <si>
    <t>MARINE-ENVIRONMENT; MICROPLASTICS; POLLUTION</t>
  </si>
  <si>
    <t>[Ozkan, Ilkan] Cukurova Univ, Dept Text Engn, Fac Engn, Adana, Turkey; [Gundogdu, Sedat] Cukurova Univ, Dept Basic Sci, Fac Fisheries, Adana, Turkey</t>
  </si>
  <si>
    <t>Ozkan, I (corresponding author), Cukurova Univ, Dept Text Engn, Fac Engn, Adana, Turkey.</t>
  </si>
  <si>
    <t>iozkan@cu.edu.tr</t>
  </si>
  <si>
    <t>0040-5000</t>
  </si>
  <si>
    <t>1754-2340</t>
  </si>
  <si>
    <t>J TEXT I</t>
  </si>
  <si>
    <t>J. Text. Inst.</t>
  </si>
  <si>
    <t>MAR 2020</t>
  </si>
  <si>
    <t>Materials Science, Textiles</t>
  </si>
  <si>
    <t>PU8RC</t>
  </si>
  <si>
    <t>WOS:000520541600001</t>
  </si>
  <si>
    <t>From source to sink: A comparative study of streamside and beach litter in the Black Sea</t>
  </si>
  <si>
    <t>The increasing amount of marine litter pollution and its impact on the marine environment raises global concern. This study aims to reveal the effect of streams on marine litter density and composition. A total of ten stations on the southeastern Black Sea and six stations on the Manahoz stream were seasonally surveyed. The litter density ranged between 0.838 +/- 0.33 and 4.01 +/- 0.55 items/m2 in the beach stations, and 0.93 +/- 0.27 2.40 +/- 2.18 items/m2 in the streamside stations. No significant difference was determined among the seasons for both beach and streamside (Kruskal-Wallis test, p &gt; 0.05). On the other hand, the litter density was also similar in beach and streamside stations in the same season. The litter composition consisted of &gt; 75% plastic. Principal component analysis and PERMANOVA determined no significant difference in litter composition among beach and streamside stations. The litter items mostly consisted of single-use items. Among them, plastic beverage con-tainers were the most abundant litter subcategory during the study (ranging between 18.79% and 34.50%). The subcategory composition exhibited a significant difference among beach and streamside stations (ANOSIM, p &lt; 0.05), which was mainly explained by plastic pieces, beverage containers, and foams according to SIMPER analysis. Personal protection equipment that was not reported before the COVID-19 pandemic emerged. The results of our study can be used for marine litter modeling studies and legislation for restriction or ban of most abundant single-use litter items.</t>
  </si>
  <si>
    <t>10.1016/j.wasman.2023.02.025</t>
  </si>
  <si>
    <t>Eruz, C; Terzi, Y; Ismail, NP; Ozseker, K; Baskan, N; Karakoc, FT</t>
  </si>
  <si>
    <t>Eruz, Coskun; Terzi, Yahya; Ismail, Neira Purwanty; Ozseker, Koray; Baskan, Nurettin; Karakoc, Fatma Telli</t>
  </si>
  <si>
    <t>Beach litter; Streamside litter; Plastic pollution; Black Sea; COVID-19</t>
  </si>
  <si>
    <t>MARINE LITTER; PLASTIC DEBRIS; CIRCULATION; MODEL; MECHANISMS; POLLUTION; RIVERS; COAST</t>
  </si>
  <si>
    <t>[Eruz, Coskun; Karakoc, Fatma Telli] Karadeniz Tech Univ, Fac Marine Sci, Dept Marine Sci &amp; Technol Engn, Trabzon, Turkiye; [Terzi, Yahya; Ismail, Neira Purwanty; Baskan, Nurettin] Karadeniz Tech Univ, Fac Marine Sci, Dept Fisheries Technol Engn, Trabzon, Turkiye; [Ozseker, Koray] Karadeniz Tech Univ, Inst Marine Sci &amp; Technol, Trabzon, Turkiye</t>
  </si>
  <si>
    <t>Terzi, Y (corresponding author), Karadeniz Tech Univ, Fac Marine Sci, Dept Fisheries Technol Engn, Trabzon, Turkiye.</t>
  </si>
  <si>
    <t>Terzi, Yahya/CAC-0027-2022; ERÜZ, coskun/W-2374-2017</t>
  </si>
  <si>
    <t>Terzi, Yahya/0000-0002-6367-5000; ERÜZ, coskun/0000-0002-2384-9010</t>
  </si>
  <si>
    <t>European Union [BSB 785]</t>
  </si>
  <si>
    <t>European Union(European Union (EU))</t>
  </si>
  <si>
    <t>Data collection activities of the study were financially supported by the European Union, Black Sea Cross Border Cooperation project titled Raising Public Awareness and Reducing Marine Litter for Protection of the Black Sea Ecosystem (LitOUTer) (Project number: BSB 785).</t>
  </si>
  <si>
    <t>9X3EO</t>
  </si>
  <si>
    <t>WOS:000949655100001</t>
  </si>
  <si>
    <t>Distribution and composition of seafloor marine litter in the southeastern Black Sea</t>
  </si>
  <si>
    <t>This study was conducted to investigate seafloor marine litter abundance between Samsun (Yakakent) and Hopa within the scope of Integrated Marine Pollution Monitoring Project (CSB/CEDIDGM-TUBITAK/MAM) in summer 2019. Totally, the trawl hauling operations were successfully performed in 30 stations. The works were done according to the MEDITS protocol: sampling was done at 3 different depths (0-20 m, 20-50 m and 50-100 m), marine litter was classified in 9 categories. At all sampling stations marine litter was assessed by weight and amount. The most common marine litter group was L2 tire/rubber by weight (53%) and amount (67%) when L1 plastic group - 25% by weight and L5 fabric and natural fibres - 12% by amount. Especially in the L2 group, the car and truck tires were dominated in weight of CB5 (Trabzon- Surmene) and CB3 (Trabzon) stations.</t>
  </si>
  <si>
    <t>Kasapoglu, N; Dagtekin, M; Ilhan, S; Erik, G; Ozsandikci, U; Buyukdeveci, F</t>
  </si>
  <si>
    <t>Kasapoglu, Nazli; Dagtekin, Murat; Ilhan, Salih; Erik, Gokhan; Ozsandikci, Ugur; Buyukdeveci, Ferhat</t>
  </si>
  <si>
    <t>Marine litter; plastic; pollution; southeastern Black Sea</t>
  </si>
  <si>
    <t>[Kasapoglu, Nazli; Dagtekin, Murat; Ilhan, Salih; Erik, Gokhan] Cent Fisheries Res Inst, Trabzon, Turkey; [Ozsandikci, Ugur] Sinop Univ, Fac Fisheries, Dibekli, Sinop, Turkey; [Buyukdeveci, Ferhat] Saricam Directorate Prov Agr &amp; Forestry, Adana, Turkey</t>
  </si>
  <si>
    <t>Ministry of Food, Agriculture &amp; Livestock - Turkey; Sinop University</t>
  </si>
  <si>
    <t>Kasapoglu, N (corresponding author), Cent Fisheries Res Inst, Trabzon, Turkey.</t>
  </si>
  <si>
    <t>nazli.kasapoglu@tarimorman.gov.tr</t>
  </si>
  <si>
    <t>Özsandıkçı, Uğur/GPK-4831-2022; büyükdeveci, ferhat/AAZ-5806-2020; Dağtekin, Murat/AAD-8736-2022; Kasapoğlu, Nazlı/AFK-8567-2022</t>
  </si>
  <si>
    <t>Özsandıkçı, Uğur/0000-0002-7246-5494; büyükdeveci, ferhat/0000-0002-8531-525X; Kasapoğlu, Nazlı/0000-0001-5526-778X</t>
  </si>
  <si>
    <t>Integrated Marine Pollution Monitoring 2017-2019 Program</t>
  </si>
  <si>
    <t>This work has been supported by Integrated Marine Pollution Monitoring 2017-2019 Program carried out by Ministry of Environment and Urbanization/General Directorate of EIA, Permit and Inspection/Department of Laboratory, Measurement and coordinated by TUBITAK-MRC ECPI.</t>
  </si>
  <si>
    <t>WOS:000637180200013</t>
  </si>
  <si>
    <t>Abundance and composition of marine litter around Gokceada Island (Northern Aegean Sea)</t>
  </si>
  <si>
    <t>Marine debris are frequently studied on beaches and occasionally in coastal waters, but links between these two environments have rarely been studied. Litter items were collected by hand in the Gokceada beaches supralittoral zone, consisting of sandy or rocky beaches, and collected from subtidal areas between 50-450m depth range on the continental shelf with bottom trawling. Collected litter were sorted and categorized by type, usage and origin. On the beaches, litter density varied from 0.1 to 22.1 items per 100 m(2). Plastic materials dominated the composition of waste materials (59%) followed by soft plastic, nylon (11.5%). Eight percent of litter was of foreign in origin coming from two countries (Greece and Bulgaria). Offshore, during 32 hauls only 12 items were collected, and the number of debris ranged from 0 to 1.6 items km(-2). Gokceada Island should be further monitored in order to develop regional marine litter management solutions.</t>
  </si>
  <si>
    <t>10.1080/14634988.2016.1257898</t>
  </si>
  <si>
    <t>Gonulal, O; Oz, I; Guresen, SO; Ozturk, B</t>
  </si>
  <si>
    <t>Gonulal, Onur; Oz, Idil; Guresen, Sedat Ozan; Ozturk, Bayram</t>
  </si>
  <si>
    <t>AQUATIC ECOSYSTEM HEALTH &amp; MANAGEMENT</t>
  </si>
  <si>
    <t>marine debris; coastal waters</t>
  </si>
  <si>
    <t>PLASTIC DEBRIS; BEACH DEBRIS; ACCUMULATION; ORIGIN; FLOOR; PARK</t>
  </si>
  <si>
    <t>[Gonulal, Onur; Guresen, Sedat Ozan; Ozturk, Bayram] Istanbul Univ, Fac Fisheries, Istanbul, Turkey; [Oz, Idil] Canakkale Onsekiz Mart Univ, Gokceada Sch Appl Sci, Canakkale, Turkey</t>
  </si>
  <si>
    <t>Istanbul University; Canakkale Onsekiz Mart University</t>
  </si>
  <si>
    <t>Gonulal, O (corresponding author), Istanbul Univ, Fac Fisheries, Istanbul, Turkey.</t>
  </si>
  <si>
    <t>ogonulal@istanbul.edu.tr</t>
  </si>
  <si>
    <t>Öztürk, Bayram/AAD-6228-2020; gönülal, onur/N-2395-2014</t>
  </si>
  <si>
    <t>Öztürk, Bayram/0000-0001-7844-2448; Gonulal, Onur/0000-0002-5559-3953</t>
  </si>
  <si>
    <t>MICHIGAN STATE UNIV PRESS</t>
  </si>
  <si>
    <t>E LANSING</t>
  </si>
  <si>
    <t>1405 SOUTH HARRISON RD, STE 25 MANLY MILES BUILDING, E LANSING, MI 48823-5202 USA</t>
  </si>
  <si>
    <t>1463-4988</t>
  </si>
  <si>
    <t>1539-4077</t>
  </si>
  <si>
    <t>AQUAT ECOSYST HEALTH</t>
  </si>
  <si>
    <t>Aquat. Ecosyst. Health Manag.</t>
  </si>
  <si>
    <t>Ecology; Environmental Sciences; Marine &amp; Freshwater Biology; Water Resources</t>
  </si>
  <si>
    <t>Environmental Sciences &amp; Ecology; Marine &amp; Freshwater Biology; Water Resources</t>
  </si>
  <si>
    <t>EG2UF</t>
  </si>
  <si>
    <t>WOS:000390898900015</t>
  </si>
  <si>
    <t>Benthic Debris Accumulation in Bathyal Grounds in the Antalya Bay, Eastern Mediterranean</t>
  </si>
  <si>
    <t>The present study was carried out in the Bay of Antalya (eastern Mediterranean) between January and May 2012. A conventional bottom trawl was operated onboard of an research vessel. The depth of the sampling area varied between 200 and 800 m. The material, abundance and distribution of large marine pollutants were investigated in bathyal benthic zone. During the 32 hauls, a total of 220 kg debris and 920 items were collected. The mass of overall debris concentration range from 18.5 to 2,186 kg/km(2), number of debris range from 115 to 2,762 item/km(2). There is no significant difference between depth ranges for any kind of marine debris (P&lt;0.05). The number percentage of plastic metal, glass, and other debris in total were 81.1%, 2.2%, 3.9% and 12.8%, respectively. Plastic litter was the most dominant material category by means of number.</t>
  </si>
  <si>
    <t>10.4194/1303-2712-v13_1_06</t>
  </si>
  <si>
    <t>Guven, O; Gulyavuz, H; Deval, MC</t>
  </si>
  <si>
    <t>Guven, Olgac; Gulyavuz, Hayri; Deval, Mehmet Cengiz</t>
  </si>
  <si>
    <t>Marine pollution; debris; litter; bathal zone; Antalya Bay</t>
  </si>
  <si>
    <t>PLASTIC PELLETS; FLOATING DEBRIS; MARINE LITTER; SEA-FLOOR; ABUNDANCE; BED</t>
  </si>
  <si>
    <t>[Guven, Olgac; Gulyavuz, Hayri; Deval, Mehmet Cengiz] Akdeniz Univ, Fac Fisheries, TR-07058 Antalya, Turkey</t>
  </si>
  <si>
    <t>Deval, MC (corresponding author), Akdeniz Univ, Fac Fisheries, TR-07058 Antalya, Turkey.</t>
  </si>
  <si>
    <t>deval@akdeniz.edu.tr</t>
  </si>
  <si>
    <t>Akdeniz University Research Fund [2010.01.0111.001, 2010.02. 0121.026]</t>
  </si>
  <si>
    <t>Akdeniz University Research Fund(Akdeniz University)</t>
  </si>
  <si>
    <t>This study was financed by the Akdeniz University Research Fund, Project Numbers: 2010.01.0111.001 and 2010.02. 0121.026.</t>
  </si>
  <si>
    <t>151ND</t>
  </si>
  <si>
    <t>WOS:000319466300006</t>
  </si>
  <si>
    <t>Benthic marine litter in the Marmara Sea, Turkey</t>
  </si>
  <si>
    <t>This study presents the first data on benthic marine litter in the Marmara Sea, Turkey. To obtain the data, bottom trawl surveys were conducted at 34 sites between May 2017 and February 2018. The litter items were sampled and sorted following the MEDITS' relevant instructions. 660 pieces of litter, weighing 434.9 kg, were sampled. The litter density was found to range between 27.5 n/km(2) and 661.2 n/km(2), averaging 73.9 n/km(2), and the obtained items' weights ranged between 0.03 kg/km(2) and 1597.8 kg/km(2), averaging 48.7 kg/km(2). The plastic group L1 constituted 71.7% of the trawled litter. The highest mean litter density was detected in the Northeastern Marmara Sea in the spring and summer of 2018. The mean benthic litter density was found to be higher than the nearby areas. It was concluded that more effort should be invested in reducing marine pollution.</t>
  </si>
  <si>
    <t>10.12714/egejfas.39.2.04</t>
  </si>
  <si>
    <t>Sirin, M; Daban, IB; Ismen, A; Ihsanoglu, MA</t>
  </si>
  <si>
    <t>Sirin, Murat; Daban, Ismail Burak; Ismen, Ali; Ihsanoglu, Mukadder Arslan</t>
  </si>
  <si>
    <t>MEDITS; benthic litter; plastic waste; marine pollution; Marmara Sea</t>
  </si>
  <si>
    <t>PLASTIC DEBRIS; ITALIAN SEAS; ABUNDANCE; ACCUMULATION; BOTTOMS</t>
  </si>
  <si>
    <t>[Sirin, Murat] Gen Minist Agr &amp; Forestry, TR-61040 Trabzon, Turkey; [Daban, Ismail Burak; Ismen, Ali; Ihsanoglu, Mukadder Arslan] Univ Canakkale Onsekiz Mart, Fac Marine Sci &amp; Technol, TR-17100 Canakkale, Turkey</t>
  </si>
  <si>
    <t>Ihsanoglu, MA (corresponding author), Univ Canakkale Onsekiz Mart, Fac Marine Sci &amp; Technol, TR-17100 Canakkale, Turkey.</t>
  </si>
  <si>
    <t>mukadderarslan@gmail.com</t>
  </si>
  <si>
    <t>daban, burak/AAQ-2877-2021</t>
  </si>
  <si>
    <t>ARSLAN IHSANOGLU, MUKADDER/0000-0003-0072-5848; Ismen, Ali/0000-0003-2456-0232; sirin, murat/0000-0003-3556-7472</t>
  </si>
  <si>
    <t>(TAGEM) General Directorate of Agricultural Research and Policy [TAGEM/HAYSUD/2014/05/01]</t>
  </si>
  <si>
    <t>(TAGEM) General Directorate of Agricultural Research and Policy(Gida Tarim Ve Hayvancilik Bakanligi)</t>
  </si>
  <si>
    <t>This research is supported by (TAGEM) General Directorate of Agricultural Research and Policy with the Project Number: TAGEM/HAYSUD/2014/05/01. The authors would like to thanks Hasim Inceoglu, Alpaslan Kara, Engin Kocabas, Habip Bal, Ahmet Oktener, Guzin Gul, Koray Cabbar, Gurkan Ali Yazici and G. Erman Ugur for their contributions in the field samplings.</t>
  </si>
  <si>
    <t>5D3GA</t>
  </si>
  <si>
    <t>WOS:000864833600004</t>
  </si>
  <si>
    <t>Spatial pattern and characteristics of the benthic marine litter in the southern Black Sea shelf</t>
  </si>
  <si>
    <t>The abundance and characteristics of benthic marine litter in the southern Black Sea shelf were demonstrated. During the surveys, 671 litter items weighing 83.93 kg were collected from the stations. The average density by number and weight were 460.70 +/- 99.71 n/km(2) and 80.68 +/- 48.06 kg/km(2). The litter density was significantly higher at 10-20 m (646.09 +/- 165.63 n/km(2)) compared to 20-30 m (165.53 +/- 81.02 n/km(2)) and &gt;30 m (413.87 +/- 146.59 n/km(2)) depth classes. Plastic (69.03%) was the most abundant material by number, followed by textile (20.94%) and metal (5.68%). The litter composition differed between the no-trawl zone and trawl ground. Our results indicate that more detailed research is needed to understand the interaction of various factors influencing transportation and accumulation of marine litter in the Black Sea.</t>
  </si>
  <si>
    <t>10.1016/j.marpolbul.2022.113322</t>
  </si>
  <si>
    <t>Eruz, C; Terzi, Y; Ozturk, RC; Karakoc, FT; Ozseker, K; Sahin, A; Ismail, NP</t>
  </si>
  <si>
    <t>Eruz, Coskun; Terzi, Yahya; Ozturk, Rafet Cagri; Karakoc, Fatma Telli; Ozseker, Koray; Sahin, Ahmet; Ismail, Neira Purwanty</t>
  </si>
  <si>
    <t>Litter; Pollution; Seafloor; Plastic; Marine environment; Benthic habitat</t>
  </si>
  <si>
    <t>MEDITERRANEAN SEA; DEBRIS; FLOOR; INGESTION; COASTAL; IMPACT</t>
  </si>
  <si>
    <t>[Eruz, Coskun; Karakoc, Fatma Telli] Karadeniz Tech Univ, Fac Marine Sci, Dept Marine Sci &amp; Technol Engn, Trabzon, Turkey; [Terzi, Yahya; Ozturk, Rafet Cagri; Sahin, Ahmet; Ismail, Neira Purwanty] Karadeniz Tech Univ, Fac Marine Sci, Dept Fisheries Technol Engn, Trabzon, Turkey; [Ozseker, Koray] Karadeniz Tech Univ, Inst Marine Sci &amp; Technol, Trabzon, Turkey</t>
  </si>
  <si>
    <t>Terzi, Y (corresponding author), Karadeniz Tech Univ, Fac Marine Sci, Dept Fisheries Technol Engn, Trabzon, Turkey.</t>
  </si>
  <si>
    <t>yhyterzi@gmail.com</t>
  </si>
  <si>
    <t>Telli Karakoç, Fatma/AAW-3045-2020; Terzi, Yahya/CAC-0027-2022; ERÜZ, coskun/W-2374-2017; ŞAHİN, AHMET/AAS-4702-2020; Ismail, Neira Purwanty/CAA-1529-2022</t>
  </si>
  <si>
    <t>Terzi, Yahya/0000-0002-6367-5000; ERÜZ, coskun/0000-0002-2384-9010; ŞAHİN, AHMET/0000-0002-2378-7921; Ismail, Neira Purwanty/0000-0002-9350-0260; OZTURK, Rafet Cagri/0000-0003-1785-4056</t>
  </si>
  <si>
    <t>Scientific and Technological Research Council of Turkey, Marmara Research Center (TUBITAKMRC)</t>
  </si>
  <si>
    <t>This study was supported by the Scientific and Technological Research Council of Turkey, Marmara Research Center (TUBITAKMRC). The authors would like to thank the crew of the R/V KTU Denar-I.</t>
  </si>
  <si>
    <t>YK2PY</t>
  </si>
  <si>
    <t>WOS:000745062800004</t>
  </si>
  <si>
    <t>The synergic toxicity of temperature increases and nanopolystrene on zebrafish brain implies that global warming may worsen the current risk based on plastic debris</t>
  </si>
  <si>
    <t>Global warming and plastic pollution are among the most important environmental problems today. Unfortunately, our world is warming more than expected and biological life, especially in the oceans, has come to the limit of the struggle for survival with the nano-scale plastic pollution that is constantly released from the main material. In this study, the synergic effect of one-degree temperature increase (28, 29, 30 degrees C) and 100 nm size polystyrene plastic nanoparticles on circadian rhythm, brain damage and metabolomics in zebrafish were investigated in an environment where temperature control with 0.05-degree precision is provided. A temperature increase of 1 degrees, together with nanoplastic exposure, affected the circadian rhythm in zebrafish, caused damage to the brain and caused significant changes in the intensity of a total of 18 metabolites in different pathways. It was also detected Raman signals of polystyrene in the brain homogenate. As a consequence, it is suggested that one degree of temperature increase pave the way for degeneration in the brain by disrupting some metabolic pathways, thereby significantly increasing the negative effects of nano-plastic on behavior.</t>
  </si>
  <si>
    <t>10.1016/j.scitotenv.2021.152092</t>
  </si>
  <si>
    <t>Sulukan, E; Baran, A; Senol, O; Yildirim, S; Mavi, A; Ceyhun, HA; Toraman, E; Ceyhun, SB</t>
  </si>
  <si>
    <t>Sulukan, Ekrem; Baran, Alper; Senol, Onur; Yildirim, Serkan; Mavi, Ahmet; Ceyhun, Hacer Akgul; Toraman, Emine; Ceyhun, Saltuk Bugrahan</t>
  </si>
  <si>
    <t>Global warming; Nanoplastic; Circadian rhythm; Metabolomics</t>
  </si>
  <si>
    <t>CIRCADIAN-RHYTHM; ARACHIDONIC-ACID; ORGANIZATION; HEALTH</t>
  </si>
  <si>
    <t>[Sulukan, Ekrem; Baran, Alper; Ceyhun, Saltuk Bugrahan] Ataturk Univ, Fisheries Fac, Aquat Biotechnol Lab, Erzurum, Turkey; [Sulukan, Ekrem; Ceyhun, Saltuk Bugrahan] Ataturk Univ, Fisheries Fac, Aquaculture Dept, Erzurum, Turkey; [Baran, Alper] Ataturk Univ, Tech Vocat Sch, Dept Food Qual Control &amp; Anal, Erzurum, Turkey; [Senol, Onur] Ataturk Univ, Fac Pharm, Dept Analyt Chem, Erzurum, Turkey; [Yildirim, Serkan] Ataturk Univ, Fac Vet, Dept Pathol, Erzurum, Turkey; [Mavi, Ahmet] Ataturk Univ, Inst Sci, Dept Nanosci &amp; Nanoengn, Erzurum, Turkey; [Mavi, Ahmet] Ataturk Univ, Educ Fac Kazim Karabekir, Dept Math &amp; Sci Educ, Erzurum, Turkey; [Ceyhun, Hacer Akgul] Ataturk Univ, Fac Med, Dept Psychiat, Erzurum, Turkey; [Toraman, Emine] Ataturk Univ, Fac Sci, Dept Mol Biol &amp; Genet, Erzurum, Turkey</t>
  </si>
  <si>
    <t>Ataturk University; Ataturk University; Ataturk University; Ataturk University; Ataturk University; Ataturk University; Ataturk University; Ataturk University; Ataturk University</t>
  </si>
  <si>
    <t>Ceyhun, SB (corresponding author), Ataturk Univ, Fisheries Fac, Aquat Biotechnol Lab, Erzurum, Turkey.</t>
  </si>
  <si>
    <t>saltukceyhun@hotmail.com</t>
  </si>
  <si>
    <t>Ceyhun, Hacer/HNS-7753-2023; Yildirim, Serkan/AAH-6721-2020; Ceyhun, Saltuk Buğrahan/ABB-1273-2020; toraman, emine/AAD-3980-2020; BARAN, Alper/J-7395-2012</t>
  </si>
  <si>
    <t>Ceyhun, Saltuk Buğrahan/0000-0003-1808-5041; toraman, emine/0000-0001-7732-6189; BARAN, Alper/0000-0002-3089-6624</t>
  </si>
  <si>
    <t>YOK (Council of Higher Education, Turkey)</t>
  </si>
  <si>
    <t>We would like to thank YOK (Council of Higher Education, Turkey) for the scholarship support given to Ekrem SULUKAN within the scope of the 100/2000 PhD program. We would like to thank Dr. Bulent CAVUSOGLU for his assistance in processing circadian videos. We thank Dr. Hasan EFEOGLU for his contributions in the preparation of the IR light mechanism of the circadian system. We would like to thank Dr Koichi KAWAKAMI for open sharing on ZeBrain. We also would like to thank DAYTAM (Eastern Anatolian High Technology Application Center) and Ahmet Emre KASAPOGLU for their support in Raman analysis.</t>
  </si>
  <si>
    <t>FEB 20</t>
  </si>
  <si>
    <t>YD2SI</t>
  </si>
  <si>
    <t>WOS:000740226100016</t>
  </si>
  <si>
    <t>Distribution and composition of benthic marine litter on the shelf of Antalya in the eastern Mediterranean</t>
  </si>
  <si>
    <t>In recent years, the pollution of the seas by the litter has identified as a serious environmental problem. Studies indicate that the majority of the marine litter consists of plastic, which is a result of human actions that also affected by river input, fishing activity and current systems. Thus, this study mainly focused on the distribution and composition of benthic marine litter. The sampling was carried out in Antalya Bay with a demersal trawl. A total of 68 hauls were performed and 370 pieces of 136.3 kg litter were collected. The density values vary between 13.3 and 651.1 n/km(-2) and weight values vary between 0.02 and 559 kg/km(-2) in overall litter. Distribution, density-weight indices by testing the differences with the depth, season and transect were analysed. Depth had a significant impact on both density and weight indices. Marine litter monitoring program is necessary for offering more solution proposals.</t>
  </si>
  <si>
    <t>10.1016/j.marpolbul.2018.09.020</t>
  </si>
  <si>
    <t>Olguner, MT; Olguner, C; Mutlu, E; Deval, MC</t>
  </si>
  <si>
    <t>Olguner, M. Tunca; Olguner, Cansu; Mutlu, Erhan; Deval, Mehmet Cengiz</t>
  </si>
  <si>
    <t>Plastic; Marine litter; Debris; Bottom trawl; Antalya Bay; Eastern Mediterranean</t>
  </si>
  <si>
    <t>SEA-FLOOR; COASTAL AREAS; DEBRIS; BOTTOM; GREECE; ACCUMULATION; CREUS; GULFS; CAP</t>
  </si>
  <si>
    <t>[Olguner, M. Tunca; Deval, Mehmet Cengiz] Akdeniz Univ, Fac Fisheries, Dept Fisheries Technol, Dumlupinar Blvd, TR-07058 Antalya, Turkey; [Olguner, Cansu; Mutlu, Erhan] Akdeniz Univ, Fac Fisheries, Dept Basic Sci, Dumlupinar Blvd, TR-07058 Antalya, Turkey</t>
  </si>
  <si>
    <t>Akdeniz University; Akdeniz University</t>
  </si>
  <si>
    <t>Olguner, MT (corresponding author), Akdeniz Univ, Fac Fisheries, Dept Fisheries Technol, Dumlupinar Blvd, TR-07058 Antalya, Turkey.</t>
  </si>
  <si>
    <t>olguner@akdeniz.edu.tr; cansubalaban@akdeniz.edu.tr; emutlu@akdeniz.edu.tr; deval@akdeniz.edu.tr</t>
  </si>
  <si>
    <t>Olguner, M. Tunca/I-7708-2017; mutlu, erhan/B-9357-2016</t>
  </si>
  <si>
    <t>Olguner, M. Tunca/0000-0001-6806-5933; mutlu, erhan/0000-0002-6825-3587</t>
  </si>
  <si>
    <t>Scientific Research Coordination Unit of Akdeniz University [2014.01.0111.001]</t>
  </si>
  <si>
    <t>Scientific Research Coordination Unit of Akdeniz University(Akdeniz University)</t>
  </si>
  <si>
    <t>The authors thank the crew of R/V Akdeniz Su for their support during the operations. This work was carried out within the framework of a project (2014.01.0111.001) supported by the Scientific Research Coordination Unit of Akdeniz University.</t>
  </si>
  <si>
    <t>HA6IJ</t>
  </si>
  <si>
    <t>WOS:000450382900020</t>
  </si>
  <si>
    <t>First report of quantification and classification of buried litter on the public beaches around the Sea of Marmara, Turkey</t>
  </si>
  <si>
    <t>The distribution and abundance of buried litter on seventeen public beaches around the Sea of Marmara were investigated in the period of 12?28 August 2018. The mean weight of total litter was found to be 73 mg/m2 and the mean number of pieces was found to be 66.2/m2. Most of the litter on the public beaches originated from the tourism activities and plastic was the most common litter which accounted for 48.07% and 76% of the total items in terms of weight and number respectively. The abundance of debris by the total number of items was higher in Istanbul Kumburgaz beach (130.6 items/m2) followed by Istanbul Meneks?e beach (117 items/m2). Balikesir Erdek beach stood out with the least litter (25.3 items/m2). Considering the findings of the study as a potentially useful baseline for this region with a limited literature, stands out as the originality of the study.</t>
  </si>
  <si>
    <t>10.1016/j.marpolbul.2021.112117</t>
  </si>
  <si>
    <t>Artuz, ML; Artuz, OB; Artuz, SD</t>
  </si>
  <si>
    <t>Artuz, M. Levent; Artuz, O. Bulent; Artuz, S. Derya</t>
  </si>
  <si>
    <t>Public beach; Debris; Litter; Pollution; Sea of Marmara</t>
  </si>
  <si>
    <t>PLASTIC DEBRIS; MARINE DEBRIS; ABUNDANCE; MICROPLASTICS; COASTLINE; ORIGIN; ISLAND</t>
  </si>
  <si>
    <t>[Artuz, M. Levent; Artuz, O. Bulent] Sevinc Erdal Inonu Fdn, Dept Marine Sci, MAREM Marmara Environm Monitoring Project, Anadoluhisar Toplaronu 8, TR-34810 Istanbul, Turkey; [Artuz, S. Derya] Istanbul Commerce Univ, Dept Human Resources, Imrahor Str 88-2, TR-34445 Istanbul, Turkey</t>
  </si>
  <si>
    <t>Sevinc Erdal Inonu Foundation; Istanbul Ticaret University</t>
  </si>
  <si>
    <t>Artuz, ML (corresponding author), Sevinc Erdal Inonu Fdn, Dept Marine Sci, MAREM Marmara Environm Monitoring Project, Anadoluhisar Toplaronu 8, TR-34810 Istanbul, Turkey.</t>
  </si>
  <si>
    <t>levent@artuz.com</t>
  </si>
  <si>
    <t>RH5UY</t>
  </si>
  <si>
    <t>WOS:000636284600014</t>
  </si>
  <si>
    <t>Hallmarking microplastics of sediments and Chamelea gallina inhabiting Southwestern Black Sea: A hypothetical look at consumption risks</t>
  </si>
  <si>
    <t>The consumer preference of bivalves originating from fishery or aquaculture has gained momentum in response to higher nutrition, quality, and market availability. However, potential toxicity caused by plastics, the pollution icons of the current era, could raise concerns for the sources of essential nutrients provided by bivalves. Thus, we investigated the abundance, spatial distribution, polymer composition, size, and the shapes of the microplastics (MPs) in the sediment and Chamelea gallina from 15 sites at gradual depths (10 and 30 m) along the Southwestern Black Sea coast. The abundance of the MPs ranged from 28 to 684 MP kg-1 in the sediments and the amount of 0.22-2.17 MP individual-1 (or 0.20-2.16 MP g-1 fresh weight soft tissue) in C. gallina. Seven types of polymers were detected by FTIR, and the most abundant type was polyethylene terephthalate (34.2-35.1%), polyethylene (28-31.1%), and polypropylene (18.9-21%). MP sizes were ranged from 73 to 4987 mu m. 47% and 65% of the MPs in the sediments and C. gallina, respectively, were &lt;1000 mu m in size. The most dominant shape of the MPs was found as fibers (56.5% for sediments and 68.9% for C. gallina). The risk data predicted that people are exposed to 304 MPs when consuming a single portion of C. gallina weekly. Hypothetical calculations performed with a chemical additive simulation (bisphenol A) showed that the risk associated with the MP-contaminated C. gallina model is negligible, and the consumption is rather beneficial due to already known positive aspects.</t>
  </si>
  <si>
    <t>10.1016/j.marpolbul.2021.113252</t>
  </si>
  <si>
    <t>Gedik, K; Gozler, AM</t>
  </si>
  <si>
    <t>Gedik, Kenan; Gozler, Ahmet Mutlu</t>
  </si>
  <si>
    <t>Striped venus clam; Plastic polymers; Risk prediction; Public health; Coastal matrices</t>
  </si>
  <si>
    <t>BISPHENOL-A; YELLOW SEA; ORGANISMS; POLLUTION; ABUNDANCE; EXPOSURE; LITTER; WATER</t>
  </si>
  <si>
    <t>[Gedik, Kenan] Recep Tayyip Erdogan Univ, Vocat Sch Tech Sci, Rize, Turkey; [Gozler, Ahmet Mutlu] Recep Tayyip Erdogan Univ, Fac Fisheries, Rize, Turkey</t>
  </si>
  <si>
    <t>GÖZLER, Ahmet Mutlu/GQQ-1924-2022</t>
  </si>
  <si>
    <t>National Scientific and Technological Research Council of Turkey (TUBITAK) [116Y150]</t>
  </si>
  <si>
    <t>National Scientific and Technological Research Council of Turkey (TUBITAK)(Turkiye Bilimsel ve Teknolojik Arastirma Kurumu (TUBITAK))</t>
  </si>
  <si>
    <t>The samples used in this study were provided by the project (No: 116Y150) supported by the National Scientific and Technological Research Council of Turkey (TUBITAK).</t>
  </si>
  <si>
    <t>XY8KU</t>
  </si>
  <si>
    <t>WOS:000737215300010</t>
  </si>
  <si>
    <t>Effects of microplastics and mercury on manila clam Ruditapes philippinarum: Feeding rate, immunomodulation, histopathology and oxidative stress</t>
  </si>
  <si>
    <t>Plastic pollution, which is one of the most important environmental problems at the present time, has been understood recently, and the effects of this pollution on ecosystem and biota are becoming a growing problem, especially in the aquatic ecosystems. Direct or indirect exposure to those particles leads to adverse effects on marine organisms. In the marine environment, plastic materials interact with other pollutants such as metals, thereby affecting the uptake levels of those pollutants in marine organisms. In the present study, the Manila clam Ruditapes philippinarum was exposed to polyethylene microbeads and mercury chloride in single, combined and incubated form at environmentally relative concentrations for one week in controlled laboratory conditions. The uptake and tissue distribution of both stressors as well as the vector role of microplastics on mercury uptake in the organisms were investigated. Filtration rates, biomarkers for immunomodulation and oxidative stress, and histological alterations were also evaluated. Microplastics were ingested by the clams, and translocated to the various tissues. However, contaminated microplastics displayed a negligible vector role in terms of mercury bioaccumulation in the clams. The single and interactive exposure of the stressors reduced the filtration rate in the clams. Both pollutants affected the immune system of the organisms. Histological alterations were determined in the gill and digestive gland tissues of the clams among the treatment groups, although oxidative stress biomarkers remained unchanged. This study suggests that the vector role of polyethylene microplastics in mercury uptake is negligible and reveals that the single and interactive one-week exposure of two pollutants induce toxicity in the manila clams. (C) 2020 Elsevier Ltd. All rights reserved.</t>
  </si>
  <si>
    <t>10.1016/j.envpol.2020.114247</t>
  </si>
  <si>
    <t>Sikdokur, E; Belivermis, M; Sezer, N; Pekmez, M; Bulan, OK; Kilic, O</t>
  </si>
  <si>
    <t>Sikdokur, Ercan; Belivermis, Murat; Sezer, Narin; Pekmez, Murat; Bulan, Omur Karabulut; Kilic, Onder</t>
  </si>
  <si>
    <t>Microplastics (MPs); Mercury (Hg); Manila clam; Bioaccumulation; Biomarkers</t>
  </si>
  <si>
    <t>GOBY POMATOSCHISTUS-MICROPS; MYTILUS-EDULIS; POLYSTYRENE MICROPLASTICS; CORBICULA-FLUMINEA; INORGANIC MERCURY; BLUE MUSSEL; QUANTITATIVE-ANALYSIS; VIRGIN MICROPLASTICS; MARINE-ENVIRONMENT; IMMUNE-RESPONSES</t>
  </si>
  <si>
    <t>[Sikdokur, Ercan] Istanbul Univ, Inst Grad Studies Sci, Istanbul, Turkey; [Belivermis, Murat; Sezer, Narin; Bulan, Omur Karabulut; Kilic, Onder] Istanbul Univ, Fac Sci, Dept Biol, TR-34134 Istanbul, Turkey; [Pekmez, Murat] Istanbul Univ, Fac Sci, Dept Mol Biol &amp; Genet, TR-34134 Istanbul, Turkey</t>
  </si>
  <si>
    <t>Kilic, O (corresponding author), Istanbul Univ, Fac Sci, Dept Biol, TR-34134 Istanbul, Turkey.</t>
  </si>
  <si>
    <t>PEKMEZ, MURAT/A-8857-2018; bulan, omur/AAD-1906-2020; KILIÇ, ÖNDER/AAC-5645-2020; Belivermiş, Murat/AAC-8059-2020</t>
  </si>
  <si>
    <t>bulan, omur/0000-0002-6591-7317; Belivermiş, Murat/0000-0003-4826-5246; Sikdokur, Ercan/0000-0002-6170-2300</t>
  </si>
  <si>
    <t>Scientific Research Projects Coordination Unit of Istanbul University [30538]</t>
  </si>
  <si>
    <t>Scientific Research Projects Coordination Unit of Istanbul University(Istanbul University)</t>
  </si>
  <si>
    <t>The study was funded by the Scientific Research Projects Coordination Unit of Istanbul University. Project number: 30538. We are grateful to Melis Coremen and Erol Sari for their technical assistance.</t>
  </si>
  <si>
    <t>LO3JG</t>
  </si>
  <si>
    <t>WOS:000533524300072</t>
  </si>
  <si>
    <t>Anthropogenic litter input through rivers in the Black Sea</t>
  </si>
  <si>
    <t>The sources and quantities of marine litter and plastic pollution in the Black Sea are yet unknown. It is important to identify the main pathways in order to enable mitigation strategies to reduce the input of plastic waste to the marine environment. In this sense, rivers in this region are expected to play an important role in transporting mismanaged waste to the sea, but data on this matter is still very limited. This study presents a first compilation of riverine floating macro litter data collected in rivers flowing into the Black Sea. Visual observations provided indicative information on the most frequent litter items and rates of riverine litter fluxes in ten rivers from Ukraine, Russia, Georgia and Turkey. Top items presented an 83.7% of plastics, including cover / packaging, bottles, pieces and bags as main contributors. Riverine litter fluxes were variable, showing median values between 4 and 75 items/hour in the different rivers, and maximum values up to 700 items/hour in the individual monitoring sessions. The establishment of future monitoring programmes require the implementation of harmonized approaches and consistent frequency in the data collection to improve the representativeness of results, enabling appropriate comparable assessments of riverine litter inputs in the Black Sea.</t>
  </si>
  <si>
    <t>Gonzalez-Fernandez, D; Pogojeva, M; Hanke, G; Machitadze, N; Kotelnikova, Y; Tretiak, I; Savenko, O; Gelashvili, N; Bilashvili, K; Kulagin, D; Fedorov, A; Senyigit, MC; Aytan, U</t>
  </si>
  <si>
    <t>Gonzalez-Fernandez, Daniel; Pogojeva, Maria; Hanke, George; Machitadze, Nino; Kotelnikova, Yuliia; Tretiak, Iryna; Savenko, Oksana; Gelashvili, Nino; Bilashvili, Kakhaber; Kulagin, Dmitry; Fedorov, Aleksey; Senyigit, M. Cagan; Aytan, Ulgen</t>
  </si>
  <si>
    <t>Riverine litter; plastic pollution; monitoring; floating litter; macro litter</t>
  </si>
  <si>
    <t>[Gonzalez-Fernandez, Daniel] Univ Cadiz, Univ Marine Res Inst INMAR, Int Campus Excellence Sea CEIMAR, Dept Biol, Cadiz, Spain; [Pogojeva, Maria] NN Zubovs State Oceanog Inst, Moscow, Russia; [Hanke, George] EC Joint Res Ctr, Ispra, Italy; [Machitadze, Nino; Gelashvili, Nino; Bilashvili, Kakhaber] Iv Javakhishvili Tbilisi State Univ, Tbilisi, Georgia; [Kotelnikova, Yuliia; Tretiak, Iryna; Savenko, Oksana] Ukrainian Ctr Ecol Sea, Odessa, Ukraine; [Savenko, Oksana] Natl Antarctic Sci Ctr Ukraine, Kiev, Ukraine; [Pogojeva, Maria; Kulagin, Dmitry; Fedorov, Aleksey] Russian Acad Sci, Shirshov Inst Oceanol, Moscow, Russia; [Senyigit, M. Cagan; Aytan, Ulgen] Recep Tayyip Erdogan Univ, Fac Fisheries, Rize, Turkey</t>
  </si>
  <si>
    <t>Universidad de Cadiz; European Commission Joint Research Centre; EC JRC ISPRA Site; Ivane Javakhishvili Tbilisi State University; Ministry of Education &amp; Science of Ukraine; State Institution National Antarctic Scientific Center; Russian Academy of Sciences; Shirshov Institute of Oceanology; Recep Tayyip Erdogan University</t>
  </si>
  <si>
    <t>Gonzalez-Fernandez, D (corresponding author), Univ Cadiz, Univ Marine Res Inst INMAR, Int Campus Excellence Sea CEIMAR, Dept Biol, Cadiz, Spain.</t>
  </si>
  <si>
    <t>daniel.gonzalez@uca.es</t>
  </si>
  <si>
    <t>Machitadze, Nino/AHB-7679-2022; Aytan, Ulgen/G-5253-2016; Tretiak, Iryna/AAW-2869-2021; Kotelnikova, Yullia/AAW-1831-2021</t>
  </si>
  <si>
    <t xml:space="preserve">Aytan, Ulgen/0000-0002-6530-3083; Tretiak, Iryna/0000-0002-4612-2041; </t>
  </si>
  <si>
    <t>WOS:000637180200017</t>
  </si>
  <si>
    <t>A new record for the presence of microplastics in dominant fish species of the Karasu River Erzurum, Turkey</t>
  </si>
  <si>
    <t>It is known that microplastics (MPs) are increasingly detected in aquatic environments (sea and fresh water), and the presence of these pollutants have worrying potential effects on the biota. This study is the first research to measure and characterize MPs in freshwater ecosystems (inland waters) in Turkey. Accordingly, the identification and characterization of MPs in the gastrointestinal systems of fish by making samples of three species [chub (Squalius cephalus), common carp (Cyprinus carpio), and mossul bleak (Alburnus mossulensis)] of the carp family living in Karasu River in Erzurum. Hydrogen peroxide application and Fourier transform infrared-attenuated total reflectance (ATR-FTIR) analyses were done for this purpose. In the obtained results, 232 microplastics were found in all three fish gastrointestinal systems. While the highest determined color was black (39-58%), the most common shape was fiber (88%), fragment (6%, and pellet (6%); MPs in the range of maximum 1001-2000 mm were detected in size. Plastics are defined as polyethylene, polyester, poly (vinyl stearate), polyethylene terephthalate, polypropylene, and cellulose. Among the studied species, the most common type of plastic pollutants was found in S. cephalus. The findings indicated the presence of microplastics in dominant species. However, these findings will be basic information for future studies on living things and microplastics in inland waters.</t>
  </si>
  <si>
    <t>10.1007/s11356-021-16243-w</t>
  </si>
  <si>
    <t>Atamanalp, M; Kokturk, M; Parlak, V; Ucar, A; Arslan, G; Alak, G</t>
  </si>
  <si>
    <t>Atamanalp, Muhammed; Kokturk, Mine; Parlak, Veysel; Ucar, Arzu; Arslan, Gokhan; Alak, Gonca</t>
  </si>
  <si>
    <t>FTIR; Fish; Microplastics; Fresh water; Turkey</t>
  </si>
  <si>
    <t>GASTROINTESTINAL-TRACT; EXTRACTION; PROTOCOL; SEA; MUSSELS; BAY</t>
  </si>
  <si>
    <t>[Atamanalp, Muhammed; Parlak, Veysel; Ucar, Arzu] Ataturk Univ, Fac Fisheries, Dept Aquaculture, TR-25030 Erzurum, Turkey; [Kokturk, Mine] Igdir Univ, Coll Appl Sci, Dept Organ Agr Management, TR-76000 Igdir, Turkey; [Arslan, Gokhan; Alak, Gonca] Ataturk Univ, Fac Fisheries, Dept Fish Capture &amp; Seafood Technol, TR-25030 Erzurum, Turkey</t>
  </si>
  <si>
    <t>Alak, G (corresponding author), Ataturk Univ, Fac Fisheries, Dept Fish Capture &amp; Seafood Technol, TR-25030 Erzurum, Turkey.</t>
  </si>
  <si>
    <t>ALAK, Gonca/HZK-0144-2023; UÇAR, Arzu/AAA-2325-2022; Atamanalp, Muhammed/AAG-2950-2020</t>
  </si>
  <si>
    <t xml:space="preserve">UÇAR, Arzu/0000-0001-5675-9401; </t>
  </si>
  <si>
    <t>YI1JI</t>
  </si>
  <si>
    <t>WOS:000693525900007</t>
  </si>
  <si>
    <t>Abundance and composition of solid waste materials on the western part of the Turkish Black Sea seabed</t>
  </si>
  <si>
    <t>Accumulation of marine litter is a worldwide growing problem of pollution in seas. Although it is recognized as one of the major pollution types for the Black Sea, very few studies can provide quantitative data and there are no data at all on solid wastes of the Black Sea seabed. This study was therefore aimed at investigating the abundance and composition of solid wastes in the southwestern Black Sea. Litter items were collected by trawling in October 2007, and in February and April 2008, at depths ranging from 25 m to 100 m. The solid waste concentration on the seabed showed a large variability ( with zones ranging from 128-1320 items km(-2) and 8-217 kg km(-2)). Marine litter concentrations were higher than in the Mediterranean Sea, consisting mainly of plastic materials. Most items were fragmented, which indicated that they had spent a long time at sea, and this made their identification difficult. Only 8 items had legible labels, 2 of them being Turkish and 6 foreign. This suggested that marine litter is a trans-boundary problem, not only in the oceans, but also for enclosed seas like the Black Sea. The situation needs to be monitored all over the basin using standardised methods in order to develop regionally valid and effective solutions.</t>
  </si>
  <si>
    <t>10.1080/14634988.2010.503684</t>
  </si>
  <si>
    <t>Topcu, NE; Ozturk, B</t>
  </si>
  <si>
    <t>Topcu, Nur Eda; Ozturk, Bayram</t>
  </si>
  <si>
    <t>marine litter; plastic; debris</t>
  </si>
  <si>
    <t>MARINE DEBRIS; FLOOR; LITTER; POLLUTION; GREECE; GULFS</t>
  </si>
  <si>
    <t>[Topcu, Nur Eda; Ozturk, Bayram] Istanbul Univ, Fac Fisheries, Dept Marine Biol, TR-34470 Istanbul, Turkey</t>
  </si>
  <si>
    <t>Topcu, NE (corresponding author), Istanbul Univ, Fac Fisheries, Dept Marine Biol, Ordu Cad 200, TR-34470 Istanbul, Turkey.</t>
  </si>
  <si>
    <t>Nemlioglu, Semih/D-8722-2019; Topçu, Nur Eda/P-9834-2015; Öztürk, Bayram/AAD-6228-2020; NEMLIOGLU, SEMIH/AAH-8909-2019</t>
  </si>
  <si>
    <t xml:space="preserve">Nemlioglu, Semih/0000-0002-9938-4651; Topçu, Nur Eda/0000-0003-2734-2695; Öztürk, Bayram/0000-0001-7844-2448; </t>
  </si>
  <si>
    <t>649IX</t>
  </si>
  <si>
    <t>WOS:000281763400009</t>
  </si>
  <si>
    <t>Nano-sized polystyrene plastic particles affect many cancer-related biological processes even in the next generations; zebrafish modeling</t>
  </si>
  <si>
    <t>With the ever-increasing plastic pollution, the nano-sized plastic particles that are constantly released from the main materials have a greater potential threat. Studies continue on how to eliminate plastic waste, which has become a global problem, from nature. We are aware that complete elimination is not easy at all, but it is not known clearly that even if it is successful, its effects on organisms will also disappear completely. In this study, zebrafish injected with 20 nm-sized polystyrene particles (PS) only during the embryonic period were grown in an environment without plastic exposure. The effects of PS on their offspring embryo/larvae were examined at morphological, molecular and metabolomic levels. Results showed that parental PNP exposure caused significant malformations, decreased survival rate, increased heart rate and blood flow rate, as well as decreased eye size, height and locomotor activity, which were attributed to growth retardation in the offspring. According to the results of whole-mount immunofluorescence larval staining, cell death and reactive oxygen species were significantly increased, while lipid accumulation was decreased in new generation larvae from zebrafish injected with PNP. In order to elucidate the mechanisms underlying these morphological, physiological and molecular damages, the metabolome analyses were performed by evaluating the Q-TOF MS/MS spectra with chemometric analyses in the offspring larvae. According to the metabolomics results, 28 annotated metabolomes suggested by the OPLS-DA analysis that may vary significantly through a variable in projection scores were detected. In addition, it was detected that the significantly increased histopathological findings and immunopositivity of JNK, H2A.X, PI3 and NOP10 in new generation larvae. In conclusion, it has been shown that exposure to PS, even only during the embryonic period, may affect many cancer-related biological processes in the next generation.</t>
  </si>
  <si>
    <t>10.1016/j.scitotenv.2022.156391</t>
  </si>
  <si>
    <t>Sulukan, E; Senol, O; Baran, A; Kankaynar, M; Yildirim, S; Kiziltan, T; Bolat, I; Ceyhun, SB</t>
  </si>
  <si>
    <t>Sulukan, Ekrem; Senol, Onur; Baran, Alper; Kankaynar, Meryem; Yildirim, Serkan; Kiziltan, Tuba; Bolat, Ismail; Ceyhun, Saltuk Bugrahan</t>
  </si>
  <si>
    <t>Nanoplastics; Polystyrene; Metabolomics; Cancer</t>
  </si>
  <si>
    <t>DOPAMINE; STRESS</t>
  </si>
  <si>
    <t>[Sulukan, Ekrem; Kankaynar, Meryem; Kiziltan, Tuba; Ceyhun, Saltuk Bugrahan] Ataturk Univ, Fisheries Fac, Aquat Biotechnol Lab, Erzurum, Turkey; [Sulukan, Ekrem; Ceyhun, Saltuk Bugrahan] Ataturk Univ, Fisheries Fac, Dept Aquaculture, Erzurum, Turkey; [Senol, Onur] Ataturk Univ, Fac Pharm, Dept Analyt Chem, Erzurum, Turkey; [Baran, Alper] Ataturk Univ, Erzurum Vocat Sch, Dept Food Qual Control &amp; Anal, Erzurum, Turkey; [Kankaynar, Meryem] Ataturk Univ, Grad Sch Nat &amp; Appl Sci, Dept Nanosci &amp; Nanoengn, Erzurum, Turkey; [Yildirim, Serkan; Bolat, Ismail] Ataturk Univ, Fac Vet, Dept Pathol, Erzurum, Turkey; [Ceyhun, Saltuk Bugrahan] Ataturk Univ, Fisheries Fac, Aquaculture Dept, TR-25240 Erzurum, Turkey</t>
  </si>
  <si>
    <t>Ataturk University; Ataturk University; Ataturk University; Ataturk University; Ataturk University; Ataturk University; Ataturk University</t>
  </si>
  <si>
    <t>Ceyhun, SB (corresponding author), Ataturk Univ, Fisheries Fac, Aquat Biotechnol Lab, Erzurum, Turkey.;Ceyhun, SB (corresponding author), Ataturk Univ, Fisheries Fac, Aquaculture Dept, TR-25240 Erzurum, Turkey.</t>
  </si>
  <si>
    <t>BARAN, Alper/J-7395-2012; Bolat, Ismail/AAU-9698-2021; Yildirim, Serkan/AAH-6721-2020</t>
  </si>
  <si>
    <t>BARAN, Alper/0000-0002-3089-6624; Bolat, Ismail/0000-0003-1398-7046; Kankaynar, Meryem/0000-0002-4382-5497; KIZILTAN, Tuba/0000-0002-7757-0488</t>
  </si>
  <si>
    <t>SEP 10</t>
  </si>
  <si>
    <t>2A8QX</t>
  </si>
  <si>
    <t>WOS:000809761500012</t>
  </si>
  <si>
    <t>Seasonal and spatial variations of marine litter on the south-eastern Black Sea coast</t>
  </si>
  <si>
    <t>The south-eastern Black Sea coast in Turkey was evaluated for marine litter composition and density covering nine beaches during four seasons. The marine litter ( &gt; 2 cm in size), was collected from the coast and categorized into material and usage categories. The data analysis showed that plastic was the most abundant litter (&gt;= 61.65%) by count and weight followed by styrofoam and fabric. The marine litter density ranged from 0.03 to 0.58 with a mean (+/- SD) of 0.16 +/- 0.02 items/m(2) by count. Based on weight, it varied between 0.44 and 14.74 g/m(2) with 3.35 +/- 1.63. The east side had a higher marine litter density than the west side with significant differences between beaches. The variations due to different seasons were not significant for any beach. The results of this study should provide baseline information about the coastal marine pollution and will assist the mitigation strategies.</t>
  </si>
  <si>
    <t>10.1016/j.marpolbul.2017.04.041</t>
  </si>
  <si>
    <t>Coastal pollution; Marine debris; Plastic; Styrofoam</t>
  </si>
  <si>
    <t>BEACH LITTER; DEBRIS; ABUNDANCE; CHINA; SEAWATERS; TAIWAN; SHORES; LAND; BAY</t>
  </si>
  <si>
    <t>[Terzi, Yahya; Seyhan, Kadir] Karadeniz Tech Univ, Dept Fisheries Technol Engn, Fac Marine Sci, TR-61530 Trabzon, Turkey</t>
  </si>
  <si>
    <t>Terzi, Y (corresponding author), Karadeniz Tech Univ, Dept Fisheries Technol Engn, Fac Marine Sci, TR-61530 Trabzon, Turkey.</t>
  </si>
  <si>
    <t>Seyhan, Kadir/AAT-7342-2020; Terzi, Yahya/CAC-0027-2022; Terzi, Yahya/X-5115-2019</t>
  </si>
  <si>
    <t>Terzi, Yahya/0000-0002-6367-5000; Terzi, Yahya/0000-0002-6367-5000</t>
  </si>
  <si>
    <t>Research Fund of Karadeniz Technical University [9682]</t>
  </si>
  <si>
    <t>Research Fund of Karadeniz Technical University</t>
  </si>
  <si>
    <t>This study was financially supported by Research Fund of Karadeniz Technical University (grant number: 9682). The authors wish to thank Kemal Terzi, MSc. Refik Ozyurt, MSc. Sava Saffak and MSc. Umit Dokuzparmak for contributing the surveys.</t>
  </si>
  <si>
    <t>JUL 15</t>
  </si>
  <si>
    <t>FD4YY</t>
  </si>
  <si>
    <t>WOS:000407539300028</t>
  </si>
  <si>
    <t>Macro litter distribution of the Turkish Mediterranean coasts dominated by pleasure crafts</t>
  </si>
  <si>
    <t>Litters are the most pollutants in progress of the interests in marine environments. Macro litter samples were collected from 66 stations to estimate litter contribution from pleasure crafts along bays of the most Turkish touristic coasts (Antalya-Mugla) by the divers in June/July 2019. Average abundance and weight were 19 items/ km(2) and 18 kg/km(2), respectively. The most abundant litter was plastics and the most contributors in weight were metals, followed by glass/ceramics. Abundance of the litters increased with number of pleasure crafts in active in summer. Pleasure crafts contributed most abundantly with the personal wares to the total litter, particularly in the coasts of Mugla. Litters were differentiated with interaction of region x bottom depths. The litter composition and abundance were different between region of Antalya in active mostly by tour boats and region of Mugla by private yachts. The litter types were however correlated with sea surface temperature.</t>
  </si>
  <si>
    <t>10.1016/j.marpolbul.2019.110833</t>
  </si>
  <si>
    <t>Mutlu, E; Ozvarol, Y; Sahin, A; Duman, GS; Karaca, D</t>
  </si>
  <si>
    <t>Mutlu, Erhan; Ozvarol, Yasar; Sahin, Ahmet; Duman, G. Sila; Karaca, Dogukan</t>
  </si>
  <si>
    <t>Macro litter; Diversity; Pleasure crafts; Turkish coast; Mediterranean Sea</t>
  </si>
  <si>
    <t>BENTHIC MARINE LITTER; SEA-FLOOR; SPATIAL-DISTRIBUTION; FISHING GROUNDS; TRAWL CATCHES; DEBRIS; ABUNDANCE; MICROPLASTICS; NORTHERN; BOTTOM</t>
  </si>
  <si>
    <t>[Mutlu, Erhan; Duman, G. Sila; Karaca, Dogukan] Akdeniz Univ, Fisheries Fac, Main Campus, Antalya, Turkey; [Ozvarol, Yasar] Akdeniz Univ, Kemer Fac Maritime, Main Campus, Antalya, Turkey; [Sahin, Ahmet] Karadeniz Tech Univ, Surmene Fac Marine Sci, Trabzon, Turkey</t>
  </si>
  <si>
    <t>Akdeniz University; Akdeniz University; Karadeniz Technical University</t>
  </si>
  <si>
    <t>Mutlu, E (corresponding author), Akdeniz Univ, Fisheries Fac, Main Campus, Antalya, Turkey.</t>
  </si>
  <si>
    <t>emutlu@akdeniz.edu.tr</t>
  </si>
  <si>
    <t>özvarol, yaşar/B-9147-2016; mutlu, erhan/B-9357-2016; ŞAHİN, AHMET/A-6811-2018; ŞAHİN, AHMET/AAS-4702-2020</t>
  </si>
  <si>
    <t>özvarol, yaşar/0000-0002-8308-1189; mutlu, erhan/0000-0002-6825-3587; ŞAHİN, AHMET/0000-0002-2378-7921; ŞAHİN, AHMET/0000-0002-2378-7921</t>
  </si>
  <si>
    <t>Scientific and Technological Research Council of Turkey [117Y133]</t>
  </si>
  <si>
    <t>The study was carried out within framework of a project coded, 117Y133, funded by Scientific and Technological Research Council of Turkey. We thanked Herdem Aslan for being a buddy to SCUBA divers. We thanked also three anonymous referees for their comments to improve the present study.</t>
  </si>
  <si>
    <t>KN3RQ</t>
  </si>
  <si>
    <t>WOS:000514758400019</t>
  </si>
  <si>
    <t>Potential threat of plastic waste during the navigation of ships through the Turkish straits</t>
  </si>
  <si>
    <t>The Turkish Straits System (TSS) is a dangerous and narrow waterway extending between the Black Sea and the Aegean Sea, including the Bosphorus, the Dardanelles, and the Marmara Sea and the Gulf of Izmit. The western banks of the TSS constitute the geographic starting point of the European continent, while the banks to the east are the beginnings of the Asia. TSS is considered one of the most strategically significant waterways of the world. This waterway is the main trading routes linking the Black Sea riparian countries to the world markets. As a result, the density in marine traffic through the TSS has recently reached alarmingly high levels. The aim of this study was to estimate the amount of plastic waste generated aboard merchant ships during their passage through the TSS during the period 2006-2017. This potential resource of waste would potentially impact on the Marmara Sea and its natural environment. The results of this study revealed that merchant ships crossing the TSS generated an average of 187.6 m(3)of plastic waste per year. This result suggests that the threat given by the ships crossing this strait is approximately 1% of the total amount of waste recorded in the TSS coastals.</t>
  </si>
  <si>
    <t>10.1007/s10661-020-08474-0</t>
  </si>
  <si>
    <t>Kaptan, M; Sivri, N; Blettler, MC; Ugurlu, O</t>
  </si>
  <si>
    <t>Kaptan, Mehmet; Sivri, Nuket; Blettler, Martin C.; Ugurlu, Ozkan</t>
  </si>
  <si>
    <t>Turkish Straits System (TSS); Plastic pollution; Merchant ship; Aboard waste</t>
  </si>
  <si>
    <t>POLLUTION; IMPACTS; ISTANBUL</t>
  </si>
  <si>
    <t>[Kaptan, Mehmet] Recep Tayyip Erdogan Univ, Maritime Transportat &amp; Management Engn Dept, Rize, Turkey; [Sivri, Nuket] Istanbul Univ Cerrahpasa, Environm Engn Dept, TR-34320 Istanbul, Turkey; [Blettler, Martin C.] Inst Nacl Limnol Santa Fe, Santa Fe, Argentina; [Ugurlu, Ozkan] Ordu Univ, Maritime Transportat &amp; Management Engn Dept, Ordu, Turkey</t>
  </si>
  <si>
    <t>Recep Tayyip Erdogan University; Istanbul University - Cerrahpasa; Ordu University</t>
  </si>
  <si>
    <t>Sivri, N (corresponding author), Istanbul Univ Cerrahpasa, Environm Engn Dept, TR-34320 Istanbul, Turkey.</t>
  </si>
  <si>
    <t>nuket@istanbul.edu.tr</t>
  </si>
  <si>
    <t>Uğurlu, Özkan/ABF-3398-2020; Uğurlu, Özkan/AAT-8536-2021; Sivri, Nuket/AFM-4107-2022; Kaptan, Mehmet/AAJ-9918-2020; Blettler, Martin/K-3795-2017</t>
  </si>
  <si>
    <t>Uğurlu, Özkan/0000-0002-3788-1759; Sivri, Nuket/0000-0002-4269-5950; Kaptan, Mehmet/0000-0003-3304-4061; Blettler, Martin/0000-0001-5837-5241</t>
  </si>
  <si>
    <t>JUL 12</t>
  </si>
  <si>
    <t>MQ0QH</t>
  </si>
  <si>
    <t>WOS:000552601400001</t>
  </si>
  <si>
    <t>Evaluation of Istanbul from the environmental components' perspective: what has changed during the pandemic?</t>
  </si>
  <si>
    <t>This study aims to determine the 1-year change over the pandemic period in Istanbul, the megacity with the highest population in Turkey, based on environmental components. Among the environmental topics, water consumption habits, changes in air quality, changes due to noise elements, and most importantly, the changes in usage habits of disposable plastic materials that directly affect health have been revealed. The results obtained showed that, in Istanbul, 8.1 x 10(8) gloves should be considered waste, and considering the population living in districts along coastal areas, the number of waste masks that are likely to end up in the sea was 325.648 pieces/day. The results of the air quality and noise measurements during the pandemic showed that reductions in parallel with human activities were recorded with the lockdown effect. The average noise values of the districts along both sides of the Bosporus, where urbanization is concentrated, were between 50 and 59 dB. The precautions taken during the pandemic have had an effective role in reducing air pollution in Istanbul. In the measurements, the parameters with effective reductions were PM10 (7-47%), PM2.5 (13-48%), NO2 (1338%), and SO2 (10-56%). As a result, Istanbul's year of changes during the pandemic period, in terms of water, air, noise, and solid plastic wastes, which are the most important components of the environment, is presented.</t>
  </si>
  <si>
    <t>10.1007/s10661-022-10105-9</t>
  </si>
  <si>
    <t>Sonmez, VZ; Ayvaz, C; Ercan, N; Sivri, N</t>
  </si>
  <si>
    <t>Sonmez, Vildan Zulal; Ayvaz, Coskun; Ercan, Nevra; Sivri, Nuket</t>
  </si>
  <si>
    <t>Environmental components; Water consumption; Plastic solid waste; Air quality; Noise pollution; Istanbul</t>
  </si>
  <si>
    <t>COVID-19 LOCKDOWN; PM10 CONCENTRATIONS; AIR-QUALITY; CONSUMPTION; POLLUTION; BEHAVIOR; IMPACT; URBAN</t>
  </si>
  <si>
    <t>[Sonmez, Vildan Zulal; Ayvaz, Coskun; Sivri, Nuket] Istanbul Univ Cerrahpasa, Dept Environm Engn, Istanbul, Turkey; [Ercan, Nevra] Istanbul Univ Cerrahpasa, Dept Chem Engn, Istanbul, Turkey</t>
  </si>
  <si>
    <t>zulal.sonmez@iuc.edu.tr; coskunayvaz@iuc.edu.tr; nevra.ercan@iuc.edu.tr; nuket@iuc.edu.tr</t>
  </si>
  <si>
    <t>Sivri, Nuket/AFM-4107-2022; Ercan, Nevra/C-7307-2019; Sonmez, V. Zulal/V-1999-2018</t>
  </si>
  <si>
    <t>Sivri, Nuket/0000-0002-4269-5950; Ercan, Nevra/0000-0001-9927-0315; Sonmez, V. Zulal/0000-0002-7488-2996</t>
  </si>
  <si>
    <t>Scientific and Technological Research Council of Turkey (TUBITAK) [121Y073]</t>
  </si>
  <si>
    <t>This study was supported in part by The Scientific and Technological Research Council of Turkey (TUBITAK) Project Number: 121Y073.</t>
  </si>
  <si>
    <t>1P6MI</t>
  </si>
  <si>
    <t>WOS:000802120300001</t>
  </si>
  <si>
    <t>LAND BASED LITTER POLLUTION ON THE SHORES OF SOUTH EASTERN BLACK SEA COASTAL CITIES</t>
  </si>
  <si>
    <t>Technological developments and increased production have led to higher amounts of waste and environmental pollution. A significant part of the pollution in river basins and coasts consists of solid waste that includes packaging waste products. In some cities and towns of the South Eastern Black Sea, much of the solid waste generated on a daily basis is dumped in the natural environment on hillsides, in river beds, and on the sea shore without being subjected to any processing. Then, the accumulated garbage on the hillsides or in stream beds is carried to the Black Sea by rivers after precipitation. A major part of the waste settles to the sea bottom while buoyant waste is transported offshore or inshore by currents and wind and some accumulates on the coast. In this study, land based solid waste accumulation on the shores of coastal cities was qualitatively and quantitatively analyzed. In total, 1,190 km2 of 10 city coastlines were scanned. It was found that litter deposited on the shores amounted to 31,417 tons, which consisted of 56% plastic, 14% metal, 7% glass and 23% textile waste. Most of the coasts of the cities showed similarities in terms of the amount of solid waste. It could be concluded that solid waste pollution affects the entire coast, with the maximum in the Trabzon central district and the minimum on the coast of Vakfikebir. According to these results, the South Eastern Black Sea coastal area has anthropogenic solid waste litter pollution that can damage environmental health, public health and aquatic ecosystems.</t>
  </si>
  <si>
    <t>Eruz, C; Ozseker, K</t>
  </si>
  <si>
    <t>Eruz, Coskun; Ozseker, Koray</t>
  </si>
  <si>
    <t>Black Sea; Litter; Coastal Pollution; Urbanization</t>
  </si>
  <si>
    <t>PLASTIC DEBRIS; ABUNDANCE; SEDIMENTS; METAL</t>
  </si>
  <si>
    <t>[Eruz, Coskun] Karadeniz Tech Univ, Fac Marine Sci, Trabzon, Turkey; [Ozseker, Koray] Karadeniz Tech Univ, Inst Marine Sci &amp; Technol, Trabzon, Turkey</t>
  </si>
  <si>
    <t>Eruz, C (corresponding author), Karadeniz Tech Univ, Fac Marine Sci, Trabzon, Turkey.</t>
  </si>
  <si>
    <t>ceruz@ktu.edu.tr</t>
  </si>
  <si>
    <t>FA3QY</t>
  </si>
  <si>
    <t>WOS:000405360700016</t>
  </si>
  <si>
    <t>Municipal solid waste management via mathematical modeling: A case study in Istanbul, Turkey</t>
  </si>
  <si>
    <t>The prominence of managing municipal solid waste (MSW) in an efficient and effective manner is increasing from day to day. In this paper, the solid waste management (SWM) system of Istanbul is analyzed by applying the techniques from mathematical programming methodology. In this manner, the solutions of the two optimization problems which aim to minimize the total cost and the environmental effects of SWM, respectively, are presented in this study. Additionally, a sensitivity analysis is performed and a multi-objective problem that combines two problems is presented. In this regard, the application of five MSW management technologies which are currently in use in Istanbul on six waste components is analyzed; and the optimal solution regarding the best mixture of these technologies is developed on a given waste composition. Besides, this optimal solution is compared with the current practice in Istanbul; and recommendations are presented about possible future investments for the policymakers. The results of the study emphasize the importance of material recovery and incineration facilities to improve profitability and to minimize environmental side effects. In particular, material recovery facility (MRF) should be expanded to be able to treat all of metal, paper and plastic from a cost management perspective. Incineration (INC) facility should also be expanded in order to treat plastics or organic waste from a Greenhouse Gas (GHG) minimization perspective. In addition to this, landfill appears to be the most prominent treatment technique according to the current problem parameters. However, regarding the waste composition, the amount of organic waste must be decreased by more than 37% for other waste streams to be treated in different facilities other than landfill. Anaerobic digestion and composting facilities need to be more cost-effective for becoming economically feasible. The methodology represented in this study can be extended and generalized to other cities around the world once the correct problem parameters are specified.</t>
  </si>
  <si>
    <t>10.1016/j.jenvman.2019.05.065</t>
  </si>
  <si>
    <t>Ayvaz-Cavdaroglu, N; Coban, A; Firtina-Ertis, I</t>
  </si>
  <si>
    <t>Ayvaz-Cavdaroglu, Nur; Coban, Asli; Firtina-Ertis, Irem</t>
  </si>
  <si>
    <t>Municipal solid waste management; Optimization; Mathematical programming</t>
  </si>
  <si>
    <t>OPTIMIZATION; EMISSIONS; RECOVERY; DISPOSAL</t>
  </si>
  <si>
    <t>[Ayvaz-Cavdaroglu, Nur] Kadir Has Univ, Dept Business Adm, TR-34083 Istanbul, Turkey; [Coban, Asli] Izmir Univ Econ, Fac Engn, Dept Civil Engn, TR-35330 Izmir, Turkey; [Firtina-Ertis, Irem] Bahcesehir Univ, Fac Engn &amp; Nat Sci, Energy Syst Engn Dept, TR-34353 Istanbul, Turkey</t>
  </si>
  <si>
    <t>Kadir Has University; Izmir Ekonomi Universitesi; Bahcesehir University</t>
  </si>
  <si>
    <t>Firtina-Ertis, I (corresponding author), Bahcesehir Univ, Fac Engn &amp; Nat Sci, Energy Syst Engn Dept, TR-34353 Istanbul, Turkey.</t>
  </si>
  <si>
    <t>nur.cavdaroglu@khas.edu.tr; asli.coban@ieu.edu.tr; irem.firtina@eng.bau.edu.tr</t>
  </si>
  <si>
    <t>Ayvaz-Cavdaroglu, Nur/W-7771-2018; Firtina-Ertis, Irem/L-3032-2018; Nemlioglu, Semih/D-8722-2019; Coban, Asli/J-3087-2014; NEMLIOGLU, SEMIH/AAH-8909-2019</t>
  </si>
  <si>
    <t xml:space="preserve">Ayvaz-Cavdaroglu, Nur/0000-0003-1240-1357; Firtina-Ertis, Irem/0000-0002-7841-4209; Nemlioglu, Semih/0000-0002-9938-4651; Coban, Asli/0000-0002-3020-0164; </t>
  </si>
  <si>
    <t>IF1BL</t>
  </si>
  <si>
    <t>WOS:000472812000038</t>
  </si>
  <si>
    <t>Characteristics and temporal trends of microplastics in the coastal area in the Southern Black Sea over the past decade</t>
  </si>
  <si>
    <t>Time-series datasets showing the gradual conformational change in the status and characteristics of microplastics (MP) in marine waters are needed to protect vulnerable marine ecosystems. In this study, the abundance, spatiotemporal distribution, polymer composition, size, and shapes of the MP in the seawater sampled from 0.5 (station-1), 2.5 (station-2), and 5 (station-3) miles off the coast of the southeastern Black Sea between 2009 and 2020 were investigated. The abundance of the MP ranged from 0.181 to 0.944 m(-3). The amounts of MP in the stations, from the greatest to the smallest, were 0.65 MP m(-3) (2), 0.45 MP m(-3) (1), 0.29 MP m(-3) (3). Thirteen types of polymers were detected by FTIR, the most abundant types of which were polyethylene (44.9%) and polyethylene terephthalate (25.3%). Sizes of MP ranged from 118 to 4998 mu m, 50% being smaller than 2000 mu m. The most dominant shape of the MPs was fragments (56.3%). Abundance did not show significant spatiotemporal changes. Periodical data presented herein may represent a remarkable projection and create a baseline for the ecosystem's future functioning and pollution research in the Black Sea.</t>
  </si>
  <si>
    <t>10.1016/j.marpolbul.2021.112993</t>
  </si>
  <si>
    <t>Eryasar, AR; Gedik, K; Sahin, A; Ozturk, RC; Yilmaz, F</t>
  </si>
  <si>
    <t>Eryasar, Ahmet Raif; Gedik, Kenan; Sahin, Ahmet; Ozturk, Rafet Cagri; Yilmaz, Fatih</t>
  </si>
  <si>
    <t>Time series; Polymers; Abundance; Coastal water</t>
  </si>
  <si>
    <t>FLOATING PLASTIC DEBRIS; MARINE-ENVIRONMENT; LEVANTINE COAST; LITTER; IDENTIFICATION; ABUNDANCE; WATERS; LEVEL</t>
  </si>
  <si>
    <t>[Eryasar, Ahmet Raif; Gedik, Kenan; Yilmaz, Fatih] Recep Tayyip Erdogan Univ, Vocat Sch Tech Sci, Rize, Turkey; [Sahin, Ahmet; Ozturk, Rafet Cagri] Karadeniz Tech Univ, Fac Marine Sci, Trabzon, Turkey</t>
  </si>
  <si>
    <t>Eryasar, Ahmet Raif/HIZ-6636-2022; ŞAHİN, AHMET/AAS-4702-2020; ŞAHİN, AHMET/A-6811-2018</t>
  </si>
  <si>
    <t>ŞAHİN, AHMET/0000-0002-2378-7921; ŞAHİN, AHMET/0000-0002-2378-7921; Gedik, Kenan/0000-0001-8244-6935; OZTURK, Rafet Cagri/0000-0003-1785-4056</t>
  </si>
  <si>
    <t>WL5VD</t>
  </si>
  <si>
    <t>WOS:000710472200005</t>
  </si>
  <si>
    <t>The impacts of nanoplastic toxicity on the accumulation, hormonal regulation and tolerance mechanisms in a potential hyperaccumulator - Lemna minor L.</t>
  </si>
  <si>
    <t>Plastic pollution, which is currently one of the most striking problems of our time, raises concerns about the dispersal of micro and nano-sized plastic particles in ecosystems and their toxic effects on living organisms. This study was designed to reveal the toxic effects of polystyrene nanoplastic (PS NP) exposure on the freshwater macrophyte Lemna minor. In addition, elucidating the interaction of this aquatic plant, which is used extensively in the phytoremediation of water contaminants and wastewater treatment facilities, with nanoplastics will guide the development of remediation techniques. For this purpose, we examined nanoplastic accumulation, oxidative stress markers, photosynthetic efficiency, antioxidant system activity and phytohormonal changes in L. minor leaves subjected to PS NP stress (P-1, 100 mg L-1; P-2, 200 mg L-1 PS NP). Our results showed no evidence of PS NP-induced oxidative damage in P-1 group plants, although PS NP accumulation reached 56 mu g g(-1) in the leaves. Also, no significant changes in chlorophyll a fluorescence parameters were observed in this group, indicating unaffected photosynthetic efficiency. PS NP exposure triggered the antioxidant system in L. minor plants and resulted in a 3- and 4.6-fold increase in superoxide dismutase (SOD) activity in the P-1 and P-2 groups. On the other hand, high-dose PS NP treatment resulted in insufficient antioxidant activity in the P-2 group and increased hydrogen peroxide (H2O2) and lipid peroxidation (TBARS contents) by 25 % and 17 % compared to the control plants. Furthermore, PS NP exposure triggered abscisic acid biosynthesis (two-fold in the P-1 and three-fold in the P-2 group), which is also involved in regulating the stress response. In conclusion, L. minor plants tolerated NP accumulation without growth suppression, oxidative stress damage and limitations in photosynthetic capacity and have the potential to be used in remediation studies of NP-contaminated waters.</t>
  </si>
  <si>
    <t>10.1016/j.jhazmat.2022.129692</t>
  </si>
  <si>
    <t>Arikan, B; Alp, FN; Ozfidan-Konakci, C; Yildiztugay, E; Turan, M; Cavusoglu, H</t>
  </si>
  <si>
    <t>Arikan, Busra; Alp, Fatma Nur; Ozfidan-Konakci, Ceyda; Yildiztugay, Evren; Turan, Metin; Cavusoglu, Halit</t>
  </si>
  <si>
    <t>Polystyrene Nanoplastics; Phytotoxicity; Antioxidant system; Chlorophyll a fluorescence; Lemna minor</t>
  </si>
  <si>
    <t>INDUCED ANTIOXIDANT DEFENSE; NADPH OXIDASE; ABSCISIC-ACID; MICROPLASTICS; PEROXIDASE; INDUCTION; GROWTH; NANOPARTICLES; ARABIDOPSIS; MODULATION</t>
  </si>
  <si>
    <t>[Arikan, Busra; Alp, Fatma Nur; Yildiztugay, Evren] Selcuk Univ, Fac Sci, Dept Biotechnol, TR-42130 Selcuklu, Konya, Turkey; [Ozfidan-Konakci, Ceyda] Necmettin Erbakan Univ, Fac Sci, Dept Mol Biol &amp; Genet, TR-42090 Meram, Konya, Turkey; [Turan, Metin] Yeditepe Univ, Fac Econ &amp; Adm Sci, Dept Agr Trade &amp; Management, TR-34755 Istanbul, Turkey; [Cavusoglu, Halit] Selcuk Univ, Fac Sci, Dept Phys, TR-42130 Selcuklu, Konya, Turkey</t>
  </si>
  <si>
    <t>Selcuk University; Necmettin Erbakan University; Yeditepe University; Selcuk University</t>
  </si>
  <si>
    <t>Yildiztugay, E (corresponding author), Selcuk Univ, Fac Sci, Dept Biotechnol, TR-42130 Selcuklu, Konya, Turkey.</t>
  </si>
  <si>
    <t>busra.arikan@selcuk.edu.tr; fatmanur.alp@selcuk.edu.tr; cozfidan@erbakan.edu.tr; eytugay@selcuk.edu.tr; metinturan@yeditepe.edu.tr; hcavusoglu@selcuk.edu.tr</t>
  </si>
  <si>
    <t>Arikan, Busra/L-6055-2016; YILDIZTUGAY, EVREN/AEP-8812-2022; Turan, Metin/HKN-5015-2023</t>
  </si>
  <si>
    <t>Arikan, Busra/0000-0001-5313-0501; YILDIZTUGAY, EVREN/0000-0002-4675-2027; Turan, Metin/0000-0002-4849-7680</t>
  </si>
  <si>
    <t>8X3QO</t>
  </si>
  <si>
    <t>WOS:000931930500002</t>
  </si>
  <si>
    <t>A statistical riverine litter propagation model</t>
  </si>
  <si>
    <t>A statistical riverine litter propagation (RLP) model based on importance sampling Monte Carlo (ISMC) simulation was developed in order to predict the frequency distribution of certain litter types in river reaches. The model was preliminarily calibrated for plastic sheeting by a pilot study conducted on the River Taff, Wales (UK). Litter movement was predominantly controlled by reach characteristics, such as vegetation overhang and watercourse obstructions. These affects were modeled in the simulations, by utilizing geometric distributions of river reaches in the time domain. The proposed model satisfactorily simulated the dosing experiments performed at the River Taff. It was concluded from the preliminary calibrations that, the RLP model can be efficiently utilized to portray litter propagation at any arbitrarily selected river site, provided that the stream flows and reach characteristics are calibrated by representative probability distributions of similar sections. Therefore, the RLP model can be considered as a new statistical technique that can predict litter propagation in river sections. (C) 2001 Elsevier Science Ltd. All rights reserved.</t>
  </si>
  <si>
    <t>10.1016/S0025-326X(01)00133-3</t>
  </si>
  <si>
    <t>Balas, CE; Williams, AT; Simmons, SL; Ergin, A</t>
  </si>
  <si>
    <t>litter; plastics; simulation model; stranding probability; River Taff; Wales</t>
  </si>
  <si>
    <t>ALGORITHM; DYNAMICS</t>
  </si>
  <si>
    <t>Gazi Univ, Fac Engn &amp; Architecture, Dept Civil Engn, TR-06570 Ankara, Turkey; Univ Glomorgan, Dept Appl Sci, Pontypridd, M Glam, Wales; Vivendi Water Syst Ind Wastewater, High Wycombe HP13 6AQ, Bucks, England; Middle E Tech Univ, Fac Engn, Dept Civil Engn, TR-06531 Ankara, Turkey</t>
  </si>
  <si>
    <t>Gazi University; University of South Wales; Middle East Technical University</t>
  </si>
  <si>
    <t>Balas, CE (corresponding author), Gazi Univ, Fac Engn &amp; Architecture, Dept Civil Engn, Celal Bayar Bulvari, TR-06570 Ankara, Turkey.</t>
  </si>
  <si>
    <t>cabal@mmf.gazi.edu.tr; allan.williams@virgin.net; sarah.andersen@vivendiwater.com; ergin@metu.edu.tr</t>
  </si>
  <si>
    <t>Ergin, Ayşen/AAP-7372-2021; BALAS, CAN ELMAR/AHH-2707-2022; BALAS, CAN ELMAR ELMAR/G-3154-2010</t>
  </si>
  <si>
    <t>BALAS, CAN ELMAR/0000-0002-5994-0561; BALAS, CAN ELMAR ELMAR/0000-0002-5994-0561</t>
  </si>
  <si>
    <t>495TR</t>
  </si>
  <si>
    <t>WOS:000172356900031</t>
  </si>
  <si>
    <t>Distribution and composition of marine litter on seafloor in the western Black Sea, Turkey</t>
  </si>
  <si>
    <t>The present study aims to determine the composition, abundance, density and accumulation areas ofmarine litter on the seafloor of the Turkish coastal part of the western Black Sea. The marine litter was collected with the trawl net, designed in accordance with the MEDITS trawl net plan. The survey was carried out in autumn 2019 with 14 trawl hauls in total. The duration time of the hauls was 30 minutes at a constant speed of 3 knots and depths 10-80 m in the coastal area. Litter items were identified according to the methodology and protocols of MEDITS (2017). The average abundance of marine litter on the western Black Sea seafloor was calculated as 111 +/- 37.40 items km(-2) (between 30 and 390 items km(-2)) and average weight 86.31 +/- 59.17 kg km(-2) (between 0.30 and 831 kg km(-2)). The ratio of marine litter in the study area was 71.43%. Plastic was the most common material with average abundance 79.28 +/- 26.42 items km(-2). The abundance and weight of seafloor litter increased from western to eastern part of the studied area. The obtained data could be useful as a baseline for the future studies of seafloor marine litter in the Black Sea.</t>
  </si>
  <si>
    <t>Uzer, U; Yildiz, T; Karakulak, FS</t>
  </si>
  <si>
    <t>Uzer, Ugur; Yildiz, Taner; Karakulak, F. Saadet</t>
  </si>
  <si>
    <t>Marine litter; Black Sea; trawling; pollution; seafloor</t>
  </si>
  <si>
    <t>FISHING GROUNDS; ADRIATIC SEA; DEBRIS; ACCUMULATION; ABUNDANCE; BOTTOM; SHELF</t>
  </si>
  <si>
    <t>[Uzer, Ugur; Yildiz, Taner; Karakulak, F. Saadet] Istanbul Univ, Fac Aquat Sci, Dept Fisheries Technol &amp; Management, Istanbul, Turkey</t>
  </si>
  <si>
    <t>Uzer, U (corresponding author), Istanbul Univ, Fac Aquat Sci, Dept Fisheries Technol &amp; Management, Istanbul, Turkey.</t>
  </si>
  <si>
    <t>uguruzer@istanbul.edu.tr</t>
  </si>
  <si>
    <t>Integrated Marine Pollution Monitoring 2017-2019 Programme</t>
  </si>
  <si>
    <t>This work has been supported by Integrated Marine Pollution Monitoring 2017-2019 Programme carried out by Ministry of Environment and Urbanization/General Directorate of EIA, Permit and Inspection/Department of Laboratory, Measurement and coordinated by TUBITAK-MRC ECPI. We would like to acknowledge Istanbul University Faculty of Aquatic Sciences Research Vessel R/V Yunus S crew for their efforts.</t>
  </si>
  <si>
    <t>WOS:000637180200012</t>
  </si>
  <si>
    <t>Marine litter transportation and composition in the Coastal Southern Black Sea Region</t>
  </si>
  <si>
    <t>Marine litter problem has gained great attetion in regional seas and lead to degredation and threaten aquatic life in marine environment. Coastal marine litter in the Black Sea is mainly caused by transportation and deposition of antropogenic waste resulting from river outflows. Measures and regulations remain inadequate to protect the coastal regions against pollution in the region. Geomorphology of the region creates many watersheds supplied by extensive stream networks. To estimate litter load on the Black Sea coastal areas 15 streams were surveyed. Study area is densely populated coastal region with scattered settlemets toward steep higher areas. Dry solid waste load is triggered by settlement plan and leads to accumulation of marine litter in coastal areas. Regional precipitation characteristic of the region determines flood timing and frequency with very high rainfall records. Composition and distrubution of sampled marine litter is carried out by identifying litter type propotionality to total load. Plastic has the highest ratio of 56% among all litter type. Yearly total litter load for Degirmendere stream is estimated 102.25 m(3)/year for 100 ha. Multispectral satellite images are used to asses transportation of floating or drifting litter from coastal areas to inner basin. Man made alterations of coastal areas are also evaluated in terms of aquatic living resources and pollution. Main problems are stressed and possible solutions and implications are given to reduce pollution problem in coastal areas.</t>
  </si>
  <si>
    <t>Guneroglu, A</t>
  </si>
  <si>
    <t>Guneroglu, Abdulaziz</t>
  </si>
  <si>
    <t>SCIENTIFIC RESEARCH AND ESSAYS</t>
  </si>
  <si>
    <t>Marine litter; Black Sea; satellite remote sensing</t>
  </si>
  <si>
    <t>MANAGEMENT; SATELLITE</t>
  </si>
  <si>
    <t>Karadeniz Tech Univ, Fac Marine Sci, Dept Maritime Transportat &amp; Management, TR-61600 Trabzon, Turkey</t>
  </si>
  <si>
    <t>Guneroglu, A (corresponding author), Karadeniz Tech Univ, Fac Marine Sci, Dept Maritime Transportat &amp; Management, TR-61600 Trabzon, Turkey.</t>
  </si>
  <si>
    <t>guneroglu@ktu.edu.tr</t>
  </si>
  <si>
    <t>Guneroglu, Abdulaziz/AAT-4063-2020</t>
  </si>
  <si>
    <t>NASA-DAAC</t>
  </si>
  <si>
    <t>We would like to thank NASA-DAAC for the support and production and dissemination of MODIS (Aqua) satellite data. The author is grateful to MSc. Nilgun Guneroglu for her helpful discussions during the study.</t>
  </si>
  <si>
    <t>ACADEMIC JOURNALS</t>
  </si>
  <si>
    <t>VICTORIA ISLAND</t>
  </si>
  <si>
    <t>P O BOX 5170-00200 NAIROBI, VICTORIA ISLAND, LAGOS 73023, NIGERIA</t>
  </si>
  <si>
    <t>1992-2248</t>
  </si>
  <si>
    <t>SCI RES ESSAYS</t>
  </si>
  <si>
    <t>Sci. Res. Essays</t>
  </si>
  <si>
    <t>FEB 4</t>
  </si>
  <si>
    <t>565DN</t>
  </si>
  <si>
    <t>WOS:000275269500005</t>
  </si>
  <si>
    <t>Impact of accumulated beach litter on Chelonia mydas L. 1758 (green turtle) hatchlings of the Samandag coast, Hatay, Turkey</t>
  </si>
  <si>
    <t>Samandag coast, located in the northeastern corner of the Mediterranean, is specifically used by Chelonia mydas (green turtles) as nesting area. While predators, such as foxes, crabs and dogs, naturally exist in the area, human impact by means of solid waste accumulation on the shoreline helps such predators to prey on more than a quarter of emerged green turtle hatchlings (an estimated value) in the area, entrapping them during their short shoreline trips from their nests to the sea or beach litter. In this study, litter accumulation, as well as its causes and types (recyclables, and medical, hazardous or hard-to-recycle ones) and amounts of these solid wastes at the Samandag coast are assessed, and it was found that solid waste transport to the Mediterranean Sea from various sources accumulates the litter on the beach due to influence of wind. Moreover, the beach litter was found to be one of the most important causes that impact turtle hatchlings, when they try to safely arrive to the sea. It was found that River Asi, an international river passing through Lebanon, Syria and Turkey, mainly used for all types of solid waste disposal purposes (including medical and hazardous types) by its surrounding, cities, is a notable solid waste source to the shoreline. Additionally, coastal communities had disposed all kinds of wastes on the coastal zone for a long time that resulted in several heaps of waste nearby and on the shoreline. Mid summer and early autumn were chosen as sampling periods, and remarkable increase in solid waste amount in the sampling area after the first autumn rainfall event could be observed. Surprisingly, medical and hazardous wastes on the beach were found to be notably elevated, representing more than 5% of the total beach litter. The study area is highly contaminated with solid wastes on the coast, when worldwide compared to similar beaches. It was found that solid waste accumulations on beaches negatively affect green turtle hatchlings trying to reach the sea, and percentage of hatchlings reaching the sea was found to be negatively correlated with beach litter amount (r(2) = -0.84 on 8(th) July 2003; and r(2) = -0.74 on 16(th) of September 2003).</t>
  </si>
  <si>
    <t>Ozdilek, HG; Yalcin-Ozdilek, S; Ozaner, FS; Sonmez, B</t>
  </si>
  <si>
    <t>Asi River; beach litter; coastal pollution; Samandag beaches; solid wastes</t>
  </si>
  <si>
    <t>MARINE DEBRIS ACCUMULATION; HAWAIIAN MONK SEAL; TEMPORAL VARIATIONS; PLASTIC DEBRIS; INGESTION; ISLANDS</t>
  </si>
  <si>
    <t>Mustafa Kemal Univ, Fac Sci &amp; Lett, Dept Biol, TR-31024 Antakya, Hatay, Turkey; Mustafa Kemal Univ, Fac Sci &amp; Lett, Dept Biol, TR-31024 Antakya, Hatay, Turkey; TUBITAK, Sci &amp; Tech Res Council, Earth Marine &amp; Atmospher Res Grp, TR-06100 Ankara, Turkey</t>
  </si>
  <si>
    <t>Mustafa Kemal University; Mustafa Kemal University; Turkiye Bilimsel ve Teknolojik Arastirma Kurumu (TUBITAK)</t>
  </si>
  <si>
    <t>Yalcin-Ozdilek, S (corresponding author), Mustafa Kemal Univ, Fac Sci &amp; Lett, Dept Biol, Lojmanlari Sabanci Kiz Yurdu Arkasi A Blok 2, TR-31024 Antakya, Hatay, Turkey.</t>
  </si>
  <si>
    <t>syalcin@mku.edu.tr</t>
  </si>
  <si>
    <t>Özdilek, Şükran Yalçın/K-8393-2012; OZDILEK, Sukran YALCIN/I-9760-2019; Sönmez, Bektaş/E-3666-2019; Sonmez, Bektas/AAI-4611-2021</t>
  </si>
  <si>
    <t>Özdilek, Şükran Yalçın/0000-0001-8264-7606; Sonmez, Bektas/0000-0002-8190-409X</t>
  </si>
  <si>
    <t>011RQ</t>
  </si>
  <si>
    <t>WOS:000235286200002</t>
  </si>
  <si>
    <t>Composition, sources, abundance and seasonality of Marine Litter in the cakalburnu lagoon coast of Aegean Sea</t>
  </si>
  <si>
    <t>The Aegean Sea is one of the most contaminated by marine litter (ML) in the World. In this study, the Turkish Aegean Region was evaluated in light of the sources, abundance and composition of ML along cakalburnu Lagoon coast. Macroscopic ML with &gt; 3 cm was collected and separated into composition and sources categories. ML abundance was calculated by its density in items/m(2) (Mean +/- SD). Beach cleanliness was evaluated according to Clean-Coast Index (CCI). Seasonality was found as factor for ML composition, sources and abundance at cakalburnu coast. Plastic was the most abundant material, followed by unidentifiable items. The major sources of ML were mixed packaging, domestic and fisheries activities. The mean ML density was 0.64 +/- 0.09 items/m(2). cakalburnu coast was classified as dirty during all seasons. Therefore, ML contamination on cakalburnu coast represent a potential threat to coastal and marine environments. Thus, the present study can serve as a base for the elaboration of mitigating actions urgently needed at cakalburnu Lagoon.</t>
  </si>
  <si>
    <t>10.1007/s11852-022-00856-5</t>
  </si>
  <si>
    <t>Ertas, A; Ribeiro, VV; Castro, IB; Sayim, F</t>
  </si>
  <si>
    <t>Ertas, Alperen; Ribeiro, Victor Vasques; Castro, Italo Braga; Sayim, Ferah</t>
  </si>
  <si>
    <t>JOURNAL OF COASTAL CONSERVATION</t>
  </si>
  <si>
    <t>Marine Litter Contamination; Clean Coast Index; cakalburnu lagoon; Aegean Sea</t>
  </si>
  <si>
    <t>EASTERN BLACK-SEA; BEACH LITTER; ANTHROPOGENIC LITTER; SPATIAL-DISTRIBUTION; DEBRIS; MANAGEMENT; POLLUTION; ISLAND</t>
  </si>
  <si>
    <t>[Ertas, Alperen; Sayim, Ferah] Ege Univ, Fac Sci, Dept Biol, TR-35100 Izmir, Turkey; [Ribeiro, Victor Vasques; Castro, Italo Braga] Univ Fed Sao Paulo, Inst Mar, Santos, SP, Brazil</t>
  </si>
  <si>
    <t>Ege University; Universidade Federal de Sao Paulo (UNIFESP)</t>
  </si>
  <si>
    <t>Ribeiro, Victor Vasques/AAS-2468-2020; Castro, Italo/F-6412-2010</t>
  </si>
  <si>
    <t>Ribeiro, Victor Vasques/0000-0002-4977-8812; ERTAS, Alperen/0000-0001-8510-6100; Castro, Italo/0000-0001-8303-5150</t>
  </si>
  <si>
    <t>1400-0350</t>
  </si>
  <si>
    <t>1874-7841</t>
  </si>
  <si>
    <t>J COAST CONSERV</t>
  </si>
  <si>
    <t>J. Coast. Conserv.</t>
  </si>
  <si>
    <t>Biodiversity Conservation; Environmental Sciences; Marine &amp; Freshwater Biology; Water Resources</t>
  </si>
  <si>
    <t>Biodiversity &amp; Conservation; Environmental Sciences &amp; Ecology; Marine &amp; Freshwater Biology; Water Resources</t>
  </si>
  <si>
    <t>0C1RN</t>
  </si>
  <si>
    <t>WOS:000775099000001</t>
  </si>
  <si>
    <t>Evaluation of occurrence, fate and removal of priority phthalate esters (PAEs) in wastewater and sewage sludge by advanced biological treatment, waste stabilization pond and constructed wetland</t>
  </si>
  <si>
    <t>Phthalate Esters (PAEs), detected in high concentrations generally in treated wastewater discharged from wastewater treatment plants (WWTPs), are important pollutants that restrict the reuse of wastewater. Investigating the fate of these endocrine-disrupting chemicals in WWTPs is crucial in order to protect both receiving environments and ecosystems. For this purpose, di(2-ethylhexyl) phthalate (DEHP), di-n-octyl phthalate (DNOP) and benzyl butyl phthalate (BBP) in the group of PAEs were monitored in simultaneously both in wastewater and sludge lines of selected two nature-based WWTPs and one advanced biological WWTP. Although it was frequently stated that phthalates were significantly removed in WWTPs in many studies found in literature, negative removal efficiencies of selected phthalates in investigated WWTPs during the sampling period were observed generally in this study. One of the reasons for this concentration increase could be releasing of phthalates from microplastics in wastewater during the treatment process or the desorption of PAEs from treatment sludge. DNOP was the compound with the highest concentration increase at almost each treatment unit of the three WWTPs. On the other hand, total PAEs load was 1997 g d(-1) in advanced biological WWTP and adsorption onto sludge of PAEs were determined as 90%. The side-stream total load returned from the decanter supernatant was 0.02% of the total PAEs load coming to advanced biological WWTP from the sewer system. As a result of detailed statistical analysis, the correlation between raw wastewater and primary clarifier (PC) effluent was determined as an increasing linear relation for DEHP and DNOP. On the other hand, moderate and strong correlations were observed both between septic tank and constructed wetland (CW) processes with raw wastewater. In the waste stabilization pond (WSP), while a significant correlation was not found between the sludge line data, homogeneous variance, strong and moderate correlations were obtained in the wastewater line data. However, while mean differences for all investigated PAEs were not significant (p &gt; 0.05) in the wastewater line, mean differences of DEHP (p &lt; 0.05) were significant in the sludge line according to ANOVA analysis.</t>
  </si>
  <si>
    <t>10.1016/j.chemosphere.2022.133864</t>
  </si>
  <si>
    <t>Nas, B; Ates, H; Dolu, T; Yel, E; Argun, ME; Koyuncu, S; Kara, M; Dinc, S</t>
  </si>
  <si>
    <t>Nas, B.; Ates, H.; Dolu, T.; Yel, E.; Argun, M. E.; Koyuncu, S.; Kara, M.; Dinc, S.</t>
  </si>
  <si>
    <t>BBP; DEHP; DNOP; Microplastics; Micropollutant; Phthalate esters; Wastewater treatment plants</t>
  </si>
  <si>
    <t>N-BUTYL PHTHALATE; TREATMENT PLANTS; ACID-ESTERS; ANAEROBIC DEGRADATION; DI-(2-ETHYLHEXYL) PHTHALATE; BIODEGRADATION; SEDIMENT; RIVER; POLLUTANTS; DIGESTION</t>
  </si>
  <si>
    <t>[Nas, B.; Ates, H.; Dolu, T.; Yel, E.; Argun, M. E.] Konya Tech Univ, Dept Environm Engn, Konya, Turkey; [Koyuncu, S.] Konya Metropolitan Municipal, Environm Protect &amp; Control Dept, Konya, Turkey; [Kara, M.] Selcuk Univ, Cumra Vocat High Sch, Konya, Turkey; [Dinc, S.] Selcuk Univ, Cumra Sch Appl Sci, Konya, Turkey</t>
  </si>
  <si>
    <t>Konya Technical University; Konya Metropolitan Municipality; Selcuk University; Selcuk University</t>
  </si>
  <si>
    <t>Nas, B (corresponding author), Konya Tech Univ, Dept Environm Engn, Konya, Turkey.</t>
  </si>
  <si>
    <t>bnas@ktun.edu.tr; hates@ktun.edu.tr; tdolu@ktun.edu.tr; eyal@ktun.edu.tr; meargun@ktun.edu.tr; serdar.koyuncu@konya.bel.tr; meryemkara@selcuk.edu.tr; salihadinc@selcuk.edu.tr</t>
  </si>
  <si>
    <t>Nas, Bilgehan/GPG-0661-2022; Hichem, KARA/A-2939-2016; ARGUN, Mehmet Emin/V-7869-2017</t>
  </si>
  <si>
    <t>Nas, Bilgehan/0000-0002-2942-8225; Hichem, KARA/0000-0002-3634-3668; ARGUN, Mehmet Emin/0000-0001-7203-1971; DOLU, Taylan/0000-0003-2331-1832; ATES, HAVVA/0000-0001-7506-6811</t>
  </si>
  <si>
    <t>Scientific and Technological Research Council of Turkey (TUBITAK) [115Y167]</t>
  </si>
  <si>
    <t>The authors would like to acknowledge the financial support of The Scientific and Technological Research Council of Turkey (TUBITAK) for the researches described in this paper (Grant No: 115Y167).</t>
  </si>
  <si>
    <t>ZD7YC</t>
  </si>
  <si>
    <t>WOS:000758411300002</t>
  </si>
  <si>
    <t>Adverse biological effects of ingested polystyrene microplastics using Drosophila melanogaster as a model in vivo organism</t>
  </si>
  <si>
    <t>The abundant presence and extensive use of polystyrene microplastics (PSMPs) has recently become a serious environmental concern, as impact of exposure to these substances on human health remains unknown. While in vitro studies yield data on adverse effect of PSMPs, in vivo approaches are more relevant for risk assessment. Drosophila melanogaster is one of the most genetically and experimentally accessible model organisms used in biology as an in vivo model. D. melanogaster was selected as a representative in vivo model organism to examine the genotoxic potential of PSMPs at 5 concentrations of three different sizes namely 4, 10, or 20 mu m. In particular, the wing somatic mutation and recombination test (SMART), a scalable, time-efficient in vivo assay developed to study genotoxicity of various compounds in a rapid manner at low costs was used. The third-instar Drosophila larvae were exposed to PSMPs through food at 5 concentrations ranging from 0.01-10 mM. Viability (lethality), larval length, morphological deformations, locomotor activity (climbing behavior), and genotoxic effects were the end-points measured. Exposure to PSMPs at 4, 10, or 20 mu m produced significant morphological defects, impaired climbing behavior, and genotoxicity as evidenced by the SMART test demonstrating induction of somatic recombination. Significant increases were observed in the frequency of total spots, suggesting that PSMPs might induce genotoxic activity predominantly via initiation of somatic DNA recombination in a concentration-dependent manner.</t>
  </si>
  <si>
    <t>10.1080/15287394.2021.1913684</t>
  </si>
  <si>
    <t>Demir, E</t>
  </si>
  <si>
    <t>Demir, Esref</t>
  </si>
  <si>
    <t>JOURNAL OF TOXICOLOGY AND ENVIRONMENTAL HEALTH-PART A-CURRENT ISSUES</t>
  </si>
  <si>
    <t>Polystyrene microplastics; Drosophila melanogaster; somatic recombination; climbing assay; risk assessment</t>
  </si>
  <si>
    <t>[Demir, Esref] Antalya Bilim Univ, Vocat Sch Hlth Serv, Dept Med Serv &amp; Tech, Med Lab Tech Programme, TR-07190 Antalya, Turkey</t>
  </si>
  <si>
    <t>Antalya Bilim University</t>
  </si>
  <si>
    <t>Demir, Esref/F-5983-2018</t>
  </si>
  <si>
    <t>Demir, Esref/0000-0002-2146-7385</t>
  </si>
  <si>
    <t>1528-7394</t>
  </si>
  <si>
    <t>1087-2620</t>
  </si>
  <si>
    <t>J TOXICOL ENV HEAL A</t>
  </si>
  <si>
    <t>J. Toxicol. Env. Health Part A</t>
  </si>
  <si>
    <t>AUG 18</t>
  </si>
  <si>
    <t>Environmental Sciences; Public, Environmental &amp; Occupational Health; Toxicology</t>
  </si>
  <si>
    <t>Environmental Sciences &amp; Ecology; Public, Environmental &amp; Occupational Health; Toxicology</t>
  </si>
  <si>
    <t>SR7HL</t>
  </si>
  <si>
    <t>WOS:000641507300001</t>
  </si>
  <si>
    <t>First record of microplastic occurence at the commercial fish from Orontes River</t>
  </si>
  <si>
    <t>Freshwater environments are more sensitive to anthropogenic influences and usually contain higher concentrations of pollutants than marine environments. Microplastic pollution causes additional stress on freshwater animals; yet, studies evaluating the microplastic occurrence in freshwater biota are still limited. In this study, microplastic occurrence in the gastrointestinal tracts (GIT) and gill of commercial fish species (Prussian carp Carassius gibelio (Bloch, 1782); Abu mullet Planiliza abu (Heckel, 1843); Common carp Cyprinus carpio Linnaeus, 1758; European ell Anguilla Anguilla (Linnaeus, 1758); North African catfish Clarias gariepinus (Burchell, 1822); Goldfish Carassius auratus (Linnaeus, 1758) were reported from Orontes River. MPs abundance in the GIT and gill of six species were found as 5.1 +/- 2 MPs fish-1 and 4.4 +/- 2 MPs fish-1 with an occurrence of 95% and 74%, respectively. The majority of extracted microplastics were fiber, black and less than 1000 mu m in size. FTIR analysis determined the main polymer types as polyester (50%), high-density polyethylene (HDPE) (10%), polypropylene (PP) (8%) and polyethylene terephthalate (PET) (5%). High MPs abundance and frequency of occurence indicate the exposure of microplastic pollution in freshwater biota which could threat the health of both individuals and consumers. Results obtained in this study will increase the acknowledgement of MPs pollution in the Orontes River. Also, this study will provide data to the administrators to set up necessary legislations in freshwater ecosystems.</t>
  </si>
  <si>
    <t>10.1016/j.envpol.2022.119576</t>
  </si>
  <si>
    <t>Kilic, E; Yuecel, N; Sahutoglu, SM</t>
  </si>
  <si>
    <t>Kilic, Ece; Yuecel, Nebil; Sahutoglu, Seycan Mubarek</t>
  </si>
  <si>
    <t>Asi river; Turkey; Microplastic pollution; Freshwater fish; Abundance</t>
  </si>
  <si>
    <t>FRESH-WATER FISH; GASTROINTESTINAL-TRACT; VIRGIN MICROPLASTICS; MARINE LITTER; INGESTION; POLLUTION; COASTAL; SEA; COMBINATION; PARTICLES</t>
  </si>
  <si>
    <t>[Kilic, Ece; Yuecel, Nebil; Sahutoglu, Seycan Mubarek] Iskenderun Tech Univ, Fac Marine Sci &amp; Technol, Dept Water Resources Management &amp; Org, Iskenderun, Hatay, Turkey</t>
  </si>
  <si>
    <t>Kilic, E (corresponding author), Iskenderun Tech Univ, Fac Marine Sci &amp; Technol, Dept Water Resources Management &amp; Org, Iskenderun, Hatay, Turkey.</t>
  </si>
  <si>
    <t>Kılıç, Ece/HOH-3410-2023; Yücel, Nebil/F-4053-2018</t>
  </si>
  <si>
    <t>Yücel, Nebil/0000-0003-2531-0198; Mubarek Sahutoglu, Seycan/0000-0002-0542-8298</t>
  </si>
  <si>
    <t>2D6HT</t>
  </si>
  <si>
    <t>WOS:000811646300005</t>
  </si>
  <si>
    <t>Preliminary Study on Abundance of Microplastic in Sediments and Water Samples Along the Coast of Pakistan (Sindh and Balochistan)-Northern Arabian Sea</t>
  </si>
  <si>
    <t>Plastic material dominates our life and accordingly, it dominates the environment as a pollutant. Pakistan coasts are facing with plastic pollution problem like the rest of the world. The number and types of microplastics found in sea water and sediment samples from 25 locations along the Arabian Sea coast of Pakistan were explored in this study. The results of the present study show that the region is under a high pollution from microplastics. Microplastic abundance in seawater was found as mean 582.12 +/- 246.14 particle. L-1 and in sediment samples was mean 987.40 +/- 617.06 particle.kg-1 dry sediment. Microplastic concentration was maximum in Manora both seawater and sediment samples. Fibers were major contribution to total microplastics, up to 99% of all samples both seawater and sediment samples.</t>
  </si>
  <si>
    <t>10.4194/TRJFAS19998</t>
  </si>
  <si>
    <t>Ahmed, Q; Ali, QM; Bat, L; Oztekin, A; Memon, S; Baloch, A</t>
  </si>
  <si>
    <t>Ahmed, Quratulan; Ali, Qadeer Mohammad; Bat, Levent; Oztekin, Aysah; Memon, Sehrish; Baloch, Azizullah</t>
  </si>
  <si>
    <t>Microplastic; Fibers; Northern Arabian Sea; Sediment</t>
  </si>
  <si>
    <t>MARINE-ENVIRONMENT; SURFACE WATERS; POLLUTION; FIBERS; INGESTION; CONSENSUS; PLASTICS; RELEASE; DEBRIS; BEACH</t>
  </si>
  <si>
    <t>[Ahmed, Quratulan; Ali, Qadeer Mohammad; Memon, Sehrish; Baloch, Azizullah] Univ Karachi, Marine Reference Collect &amp; Resources Ctr, Karachi 75270, Pakistan; [Bat, Levent; Oztekin, Aysah] Sinop Univ, Fisheries Fac, Dept Hydrobiol, TR-57000 Sinop, Turkey</t>
  </si>
  <si>
    <t>University of Karachi; Sinop University</t>
  </si>
  <si>
    <t>Ahmed, Q (corresponding author), Univ Karachi, Marine Reference Collect &amp; Resources Ctr, Karachi 75270, Pakistan.</t>
  </si>
  <si>
    <t>quratulanahmed_ku@yahoo.com</t>
  </si>
  <si>
    <t>Bat, Levent/I-3519-2017</t>
  </si>
  <si>
    <t>Bat, Levent/0000-0002-2289-6691</t>
  </si>
  <si>
    <t>University of Karachi</t>
  </si>
  <si>
    <t>Authors thank to Institute of Marine Reference Collection and Resources Centre, University of Karachi for supporting in field sampling and data analysis and lab facilities and Kashif Jameel for assisting field sampling.</t>
  </si>
  <si>
    <t>TRJFAS19998</t>
  </si>
  <si>
    <t>WOS:000898185300002</t>
  </si>
  <si>
    <t>One-Dimensional Experimental Investigation of Polyethylene Microplastic Transport in a Homogeneous Saturated Medium</t>
  </si>
  <si>
    <t>Plastics are widely used in every part of life. Microplastics (MPs) are classified as emerging contaminants in nature. Yet, microplastic transportation parameters in groundwater are not characterized well. In this study, microplastic transport in saturated homogeneous media was investigated. For this purpose, one-dimensional column tests were performed using the fluorescent and microplastic tracers to figure out the hydrodynamic conditions for the microplastic transport. Large silica, small silica, sand, and coarse gravel were the tested media. The hydrodynamic transport parameters were calculated by inverse solution methodology using the experimental and the analytical solution results. Only the coarse gravel medium with a minimum 1 mm and maximum 20 mm (5 mm of median) pore sizes and kinematic porosity 40.2% were found to be suitable for the transport of the used polyethylene (PE) whose particle size was between 200 and 500 mu m. It is not possible to transport PE particles of selected size from fine-grained media. Transportation occurred in coarse-grained media such as coarse gravel. The calculated dispersivity values for the coarse gravel were 2.58 and 3.02 cm by using fluorescent and PE tracers, respectively. The experiments showed that the used PE particles cannot be transported if the mean flow velocity is lower than 2.02 cm/min in the coarse gravel medium. The microplastic accumulation might be an issue for an actual aquifer rather than the transportation of it considering the actual groundwater flow velocity is generally much lower.</t>
  </si>
  <si>
    <t>10.3389/fenvs.2022.885875</t>
  </si>
  <si>
    <t>Okutan, HM; Sagir, C; Fontaine, C; Nauleau, B; Kurtulus, B; Le Coustumer, P; Razack, M</t>
  </si>
  <si>
    <t>Okutan, Hande Mahide; Sagir, Cagdas; Fontaine, Claude; Nauleau, Benoit; Kurtulus, Bedri; Le Coustumer, Philippe; Razack, Moumtaz</t>
  </si>
  <si>
    <t>FRONTIERS IN ENVIRONMENTAL SCIENCE</t>
  </si>
  <si>
    <t>microplastics; pollution; transport; porous medium; one-dimension; tracer tests; column tests</t>
  </si>
  <si>
    <t>FUTURE</t>
  </si>
  <si>
    <t>[Okutan, Hande Mahide; Le Coustumer, Philippe] Univ Bordeaux Montaigne, EA CNRS Georessources &amp; Environm 4592, Pessac, France; [Okutan, Hande Mahide; Kurtulus, Bedri] Mugla Sitki Kocman Univ, Geol Engn Dept, Mugla, Turkey; [Sagir, Cagdas; Fontaine, Claude; Nauleau, Benoit; Razack, Moumtaz] Univ Poitiers, Dept Hydrogeol, CNRS, UMR 7285,IC2MP, Poitiers, France; [Le Coustumer, Philippe] Univ Bordeaux, Bordeaux Imaging Ctr, CNRS, UMS 3420,INRA, Bordeaux, France</t>
  </si>
  <si>
    <t>Mugla Sitki Kocman University; Centre National de la Recherche Scientifique (CNRS); CNRS - Institute of Chemistry (INC); Universite de Poitiers; Centre National de la Recherche Scientifique (CNRS); CNRS - National Institute for Biology (INSB); Institut National de la Sante et de la Recherche Medicale (Inserm); INRAE; UDICE-French Research Universities; Universite de Bordeaux</t>
  </si>
  <si>
    <t>Okutan, HM (corresponding author), Univ Bordeaux Montaigne, EA CNRS Georessources &amp; Environm 4592, Pessac, France.;Okutan, HM (corresponding author), Mugla Sitki Kocman Univ, Geol Engn Dept, Mugla, Turkey.</t>
  </si>
  <si>
    <t>hndyesil@gmail.com</t>
  </si>
  <si>
    <t>Sagir, Cagdas/AAG-4394-2019; Okutan, Hande/AAG-4993-2020; Okutan, Hande/HME-1347-2023</t>
  </si>
  <si>
    <t xml:space="preserve">Sagir, Cagdas/0000-0001-5962-721X; Okutan, Hande/0000-0003-1321-1459; </t>
  </si>
  <si>
    <t>2296-665X</t>
  </si>
  <si>
    <t>FRONT ENV SCI-SWITZ</t>
  </si>
  <si>
    <t>Front. Environ. Sci.</t>
  </si>
  <si>
    <t>JUL 8</t>
  </si>
  <si>
    <t>3E8JC</t>
  </si>
  <si>
    <t>WOS:000830224000001</t>
  </si>
  <si>
    <t>Microplastic in the environment: identification, occurrence, and mitigation measures</t>
  </si>
  <si>
    <t>Microplastic is an emerging pollutant causing trouble worldwide due to its extensive distribu-tion and potential hazards to the ecological system. Some fundamental questions about micro -plastics, such as their presence, source, and possible hazards, remain unanswered. These issues develop because of a lack of systematic and comprehensive microplastic analysis. As a result, we thoroughly evaluated current knowledge on microplastics, including detection, characterization, occurrence, source, and potential harm. Microplastics are found in seawater, soil, wetlands, and air matrices worldwide based on findings. Visual classification, which can be enhanced by com-bining it with additional tools, is one of the most used methods for identifying microplastics. As soon as is practicable, microplastics analytical methods ought to be standardized. New techniques for analyzing nano-plastics are urgently needed in the meantime. Numerous studies have shown that microplastics??? impacts on people and soil are significantly influenced by their size, shape, and surface physicochemical characteristics. Finally, this study suggests areas for future research based on the knowledge gaps in the area of microplastics.</t>
  </si>
  <si>
    <t>10.5004/dwt.2022.28849</t>
  </si>
  <si>
    <t>Alazaiza, MYD; Albahnasawi, A; Al-Maskari, O; Ali, GAM; Eyvaz, M; Abujazar, MSS; Abu Amr, SS; Nassani, DE</t>
  </si>
  <si>
    <t>Alazaiza, Motasem Y. D.; Albahnasawi, Ahmed; Al-Maskari, Omar; Ali, Gomaa A. M.; Eyvaz, Murat; Abujazar, Mohammed Shadi S.; Abu Amr, Salem S.; Nassani, Dia Eddin</t>
  </si>
  <si>
    <t>DESALINATION AND WATER TREATMENT</t>
  </si>
  <si>
    <t>Microplastics; Identification methods; Occurrence; Potential risk; Mitigation measures</t>
  </si>
  <si>
    <t>WETLANDS; PARTICLES; KNOWLEDGE; INGESTION; POLLUTION; SEDIMENT; WATER; FATE; SOIL</t>
  </si>
  <si>
    <t>[Alazaiza, Motasem Y. D.; Al-Maskari, Omar] ASharqiyah Univ, Coll Engn, Dept Civil &amp; Environm Engn, Ibra 400, Oman; [Albahnasawi, Ahmed; Eyvaz, Murat] Gebze Tech Univ, Dept Environm Engn, TR-41400 Kocaeli, Turkey; [Ali, Gomaa A. M.] Al Azhar Univ, Fac Sci, Chem Dept, Assiut 71524, Egypt; [Abujazar, Mohammed Shadi S.] Karabuk Univ, Fac Engn, Demir Campus, TR-78050 Karabuk, Turkey; [Abujazar, Mohammed Shadi S.] Al Aqsa Univ, Al Aqsa Community Intermediate Coll, PB 4051, Gaza, Palestine; [Abu Amr, Salem S.] Int Coll Engn &amp; Management, POB 2511, Cpo Seeb 111, Oman; [Nassani, Dia Eddin] Hasan Kalyoncu Univ, Dept Civil Engn, TR-27500 Gaziantep, Turkey</t>
  </si>
  <si>
    <t>Gebze Technical University; Egyptian Knowledge Bank (EKB); Al Azhar University; Assiut University; Karabuk University; Al-Aqsa University; Hasan Kalyoncu University</t>
  </si>
  <si>
    <t>Alazaiza, MYD (corresponding author), ASharqiyah Univ, Coll Engn, Dept Civil &amp; Environm Engn, Ibra 400, Oman.</t>
  </si>
  <si>
    <t>my.azaiza@gmail.com; ahmedalbahnasawi@gmail.com; omar.al-maskari@asu.edu.om; gomaasanad@gmail.com; murateyvaz@gmail.com; mohammedshadi@hotmail.com; sabuamr@hotmail.com; diaeddin.nassani@hku.edu.tr</t>
  </si>
  <si>
    <t>Ali, Gomaa A.M./I-5067-2013; Abujazar, Mohammed Shadi/GOH-3156-2022</t>
  </si>
  <si>
    <t>Ali, Gomaa A.M./0000-0002-7152-531X; Abujazar, Mohammed Shadi/0000-0002-5438-0112</t>
  </si>
  <si>
    <t>DESALINATION PUBL</t>
  </si>
  <si>
    <t>HOPKINTON</t>
  </si>
  <si>
    <t>36 WALCOTT VALLEY DRIVE,, HOPKINTON, MA 01748 USA</t>
  </si>
  <si>
    <t>1944-3994</t>
  </si>
  <si>
    <t>1944-3986</t>
  </si>
  <si>
    <t>DESALIN WATER TREAT</t>
  </si>
  <si>
    <t>Desalin. Water Treat.</t>
  </si>
  <si>
    <t>Engineering, Chemical; Water Resources</t>
  </si>
  <si>
    <t>7H6UB</t>
  </si>
  <si>
    <t>WOS:000903335000021</t>
  </si>
  <si>
    <t>The true depth of the Mediterranean plastic problem: Extreme microplastic pollution on marine turtle nesting beaches in Cyprus</t>
  </si>
  <si>
    <t>We sampled 17 nesting sites for loggerhead (Caretta caretta) and green turtles (Chelonia mydas) in Cyprus. Microplastics (&lt; 5 mm) were found at all locations and depths, with particularly high abundance in superficial sand. The top 2 cm of sand presented grand mean +/- SD particle counts of 45,497 +/- 11,456 particles m(-3) (range 637-131,939 particles m(-3)). The most polluted beaches were among the worst thus far recorded, presenting levels approaching those previously recorded in Guangdong, South China. Microplastics decreased with increasing sand depth but were present down to turtle nest depths of 60 cm (mean 5,325 +/- 3,663 particles m(-3). Composition varied among beaches but hard fragments (46.5 +/- 3.5%) and pre-production nurdles (47.8 +/- 4.5%) comprised most categorised pieces. Particle drifter analysis hindcast for 365 days indicated that most plastic likely originated from the eastern Mediterranean basin. Worsening microplastic abundance could result in anthropogenically altered life history parameters such as hatching success and sex ratios in marine turtles.</t>
  </si>
  <si>
    <t>10.1016/j.marpolbul.2018.09.019</t>
  </si>
  <si>
    <t>Duncan, EM; Arrowsmith, J; Bain, C; Broderick, AC; Lee, J; Metcalfe, K; Pikesley, SK; Snape, RTE; van Sebille, E; Godley, BJ</t>
  </si>
  <si>
    <t>Duncan, Emily M.; Arrowsmith, Jessica; Bain, Charlotte; Broderick, Annette C.; Lee, Jonathon; Metcalfe, Kristian; Pikesley, Stephen K.; Snape, Robin T. E.; van Sebille, Erik; Godley, Brendan J.</t>
  </si>
  <si>
    <t>Plastic; Marine turtles; Nesting beach; Oceanographic models</t>
  </si>
  <si>
    <t>LOGGERHEAD SEA-TURTLES; CARETTA-CARETTA; LEVANTINE BASIN; SANDY BEACHES; DEBRIS; SEDIMENTS; ENVIRONMENT; ACCUMULATION; INGESTION; OCEAN</t>
  </si>
  <si>
    <t>[Duncan, Emily M.; Arrowsmith, Jessica; Bain, Charlotte; Broderick, Annette C.; Lee, Jonathon; Metcalfe, Kristian; Pikesley, Stephen K.; Snape, Robin T. E.; Godley, Brendan J.] Univ Exeter, Ctr Ecol &amp; Conservat, Marine Turtle Res Grp, Penryn, Cornwall, England; [Duncan, Emily M.] Plymouth Marine Lab, Marine Ecol &amp; Biodivers, Prospect Pl, Plymouth, Devon, England; [Snape, Robin T. E.] Soc Protect Turtles, PK 42, Mersin 10, Turkey; [van Sebille, Erik] Univ Utrecht, Inst Marine &amp; Atmospher Res, Utrecht, Netherlands</t>
  </si>
  <si>
    <t>University of Exeter; Plymouth Marine Laboratory; Utrecht University</t>
  </si>
  <si>
    <t>Godley, BJ (corresponding author), Univ Exeter, Ctr Ecol &amp; Conservat, Marine Turtle Res Grp, Penryn, Cornwall, England.;van Sebille, E (corresponding author), Univ Utrecht, Inst Marine &amp; Atmospher Res, Utrecht, Netherlands.</t>
  </si>
  <si>
    <t>e.vansebille@uu.nl; b.j.godley@exeter.ac.uk</t>
  </si>
  <si>
    <t>Godley, Brendan J/A-6139-2009; Broderick, Annette A.C/A-4062-2013; Metcalfe, Kristian/A-2297-2015</t>
  </si>
  <si>
    <t>Godley, Brendan J/0000-0003-3845-0034; Broderick, Annette/0000-0003-1444-1782; Bain, Charlotte/0000-0003-4775-4822; Metcalfe, Kristian/0000-0002-7662-5379</t>
  </si>
  <si>
    <t>Roger de Freitas; Sea Life Trust; University of Exeter; Darwin Initiative [23-011, 23-012]; European Research Council (ERC) under the European Union's Horizon 2020 research and innovation programme [715386]; MAVA foundation; Kuzey Kibris Turkcell</t>
  </si>
  <si>
    <t>Roger de Freitas; Sea Life Trust; University of Exeter; Darwin Initiative; European Research Council (ERC) under the European Union's Horizon 2020 research and innovation programme(European Research Council (ERC)); MAVA foundation; Kuzey Kibris Turkcell</t>
  </si>
  <si>
    <t>The authors would like to thank all the volunteers who assisted with fieldwork as part of the Marine Turtle Conservation Project, a collaboration between the Marine Turtle Research Group, The Society for the Protection of Turtles (SPOT) and the North Cyprus Department of Environmental Protection. We thank the latter department for their continued permission and support. Field work in Cyprus is supported British High Commission in Cyprus, British Residents Society of North Cyprus, Erwin Warth Foundation, Kuzey Kibns Turkcell, Karsiyaka Turtle Watch Turtle Watch, MAVA Foundation, Peoples Trust for Endangered Species, Tony and Angela Wadsworth and the English School of Kyrenia, United States Agency for International Development, Turkish Cypriot Presidency. EMD receives generous support from Roger de Freitas, the Sea Life Trust and the University of Exeter. BJG, KM and ACB receive support from the Darwin Initiative (23-011 and 23-012). EvS has received funding from the European Research Council (ERC) under the European Union's Horizon 2020 research and innovation programme (grant agreement No 715386). Field work in Cyprus has been supported by the MAVA foundation, and Kuzey Kibris Turkcell. The manuscript was improved as a result of the Editor and three anonymous referees.</t>
  </si>
  <si>
    <t>Green Submitted, Green Published</t>
  </si>
  <si>
    <t>WOS:000450382900035</t>
  </si>
  <si>
    <t>Microplastic ingestion ubiquitous in marine turtles</t>
  </si>
  <si>
    <t>Despite concerns regarding the environmental impacts of microplastics, knowledge of the incidence and levels of synthetic particles in large marine vertebrates is lacking. Here, we utilize an optimized enzymatic digestion methodology, previously developed for zooplankton, to explore whether synthetic particles could be isolated from marine turtle ingesta. We report the presence of synthetic particles in every turtle subjected to investigation (n = 102) which included individuals from all seven species of marine turtle, sampled from three ocean basins (Atlantic [ATL]: n = 30, four species; Mediterranean (MED): n = 56, two species; Pacific (PAC): n = 16, five species). Most particles (n = 811) were fibres (ATL: 77.1% MED: 85.3% PAC: 64.8%) with blue and black being the dominant colours. In lesser quantities were fragments (ATL: 22.9%: MED: 14.7% PAC: 20.2%) and microbeads (4.8%; PAC only; to our knowledge the first isolation of microbeads from marine megavertebrates). Fourier transform infrared spectroscopy (FT-IR) of a subsample of particles (n = 169) showed a range of synthetic materials such as elastomers (MED: 61.2%; PAC: 3.4%), thermoplastics (ATL: 36.8%: MED: 20.7% PAC: 27.7%) and synthetic regenerated cellulosic fibres (SRCF; ATL: 63.2%: MED: 5.8% PAC: 68.9%). Synthetic particles being isolated from species occupying different trophic levels suggest the possibility of multiple ingestion pathways. These include exposure from polluted seawater and sediments and/or additional trophic transfer from contaminated prey/forage items. We assess the likelihood that microplastic ingestion presents a significant conservation problem at current levels compared to other anthropogenic threats.</t>
  </si>
  <si>
    <t>10.1111/gcb.14519</t>
  </si>
  <si>
    <t>Duncan, EM; Broderick, AC; Fuller, WJ; Galloway, TS; Godfrey, MH; Hamann, M; Limpus, CJ; Lindeque, PK; Mayes, AG; Omeyer, LCM; Santillo, D; Snape, RTE; Godley, BJ</t>
  </si>
  <si>
    <t>Duncan, Emily M.; Broderick, Annette C.; Fuller, Wayne J.; Galloway, Tamara S.; Godfrey, Matthew H.; Hamann, Mark; Limpus, Colin J.; Lindeque, Penelope K.; Mayes, Andrew G.; Omeyer, Lucy C. M.; Santillo, David; Snape, Robin T. E.; Godley, Brendan J.</t>
  </si>
  <si>
    <t>GLOBAL CHANGE BIOLOGY</t>
  </si>
  <si>
    <t>anthropogenic debris; marine debris; marine plastic; marine turtle; microplastics; plastic pollution</t>
  </si>
  <si>
    <t>LOGGERHEAD SEA-TURTLES; MEDITERRANEAN SEA; DEBRIS INGESTION; CARETTA-CARETTA; PLASTIC DEBRIS; POLYACRYLAMIDE MICROBEADS; GASTROINTESTINAL-TRACT; ANTHROPOGENIC DEBRIS; HAWKSBILL TURTLES; CHELONIA-MYDAS</t>
  </si>
  <si>
    <t>[Duncan, Emily M.; Broderick, Annette C.; Fuller, Wayne J.; Omeyer, Lucy C. M.; Snape, Robin T. E.; Godley, Brendan J.] Univ Exeter, Marine Turtle Res Grp, Ctr Ecol &amp; Conservat, Penryn, England; [Duncan, Emily M.; Galloway, Tamara S.] Univ Exeter, Coll Life &amp; Environm Sci Biosci, Exeter, Devon, England; [Duncan, Emily M.; Lindeque, Penelope K.] Plymouth Marine Lab, Marine Ecol &amp; Biodivers, Plymouth, Devon, England; [Fuller, Wayne J.] Near East Univ, Fac Vet Med, Nicosia, North Cyprus, Turkey; [Fuller, Wayne J.; Snape, Robin T. E.] Soc Protect Turtles, Kyrenia, North Cyprus, Turkey; [Godfrey, Matthew H.] North Carolina Wildlife Resources Commiss, Beaufort, NC USA; [Hamann, Mark] James Cook Univ, Coll Sci &amp; Engn, Townsville, Qld, Australia; [Limpus, Colin J.] Threatened Species Unit, Dept Environm &amp; Sci, Brisbane, Qld, Australia; [Mayes, Andrew G.] Univ East Anglia, Sch Chem, Norwich Res Pk, Norwich, Norfolk, England; [Santillo, David] Univ Exeter, Greenpeace Res Labs, Sch Biosci, Innovat Ctr Phase 2, Exeter, Devon, England</t>
  </si>
  <si>
    <t>University of Exeter; University of Exeter; Plymouth Marine Laboratory; Near East University; James Cook University; University of East Anglia; University of Exeter</t>
  </si>
  <si>
    <t>Godley, BJ (corresponding author), Univ Exeter, Marine Turtle Res Grp, Ctr Ecol &amp; Conservat, Penryn, England.</t>
  </si>
  <si>
    <t>Godley, Brendan J/A-6139-2009; Lindeque, Penelope/AAE-9193-2019; Broderick, Annette A.C/A-4062-2013</t>
  </si>
  <si>
    <t>Godley, Brendan J/0000-0003-3845-0034; Omeyer, Lucy/0000-0002-1084-0578; Broderick, Annette/0000-0003-1444-1782; Hamann, Mark/0000-0003-4588-7955</t>
  </si>
  <si>
    <t>University of Exeter AMP; Roger de Freitas; NERC; Sea Life Trust; EU [308370]; Darwin Initiative; Natural Environment Research Council [NE/L003988/1, NE/L007010/1]; NERC [NE/L007010/1, pml010009, NE/L003988/1] Funding Source: UKRI</t>
  </si>
  <si>
    <t>University of Exeter AMP; Roger de Freitas; NERC(UK Research &amp; Innovation (UKRI)Natural Environment Research Council (NERC)); Sea Life Trust; EU(European Union (EU)); Darwin Initiative; Natural Environment Research Council(UK Research &amp; Innovation (UKRI)Natural Environment Research Council (NERC)); NERC(UK Research &amp; Innovation (UKRI)Natural Environment Research Council (NERC))</t>
  </si>
  <si>
    <t>Field work in Cyprus is supported British High Commission in Cyprus, British Residents Society of North Cyprus, Erwin Warth Foundation, Kuzey Kibris Turkcell, Karsiyaka Turtle Watch Turtle Watch, MAVA Foundation, Peoples Trust for Endangered Species, Tony and Angela Wadsworth and the English School of Kyrenia, United States Agency for International Development, Turkish Cypriot Presidency; University of Exeter &amp; Roger de Freitas; NERC Discovery Grant; Sea Life Trust; EU Seventh Framework Programme, Grant/Award Number: 308370; Darwin Initiative; Natural Environment Research Council, Grant/Award Number: NE/L003988/1, NE/L007010/1</t>
  </si>
  <si>
    <t>1354-1013</t>
  </si>
  <si>
    <t>1365-2486</t>
  </si>
  <si>
    <t>GLOBAL CHANGE BIOL</t>
  </si>
  <si>
    <t>Glob. Change Biol.</t>
  </si>
  <si>
    <t>Biodiversity Conservation; Ecology; Environmental Sciences</t>
  </si>
  <si>
    <t>Biodiversity &amp; Conservation; Environmental Sciences &amp; Ecology</t>
  </si>
  <si>
    <t>HH9BN</t>
  </si>
  <si>
    <t>Green Published, Green Accepted</t>
  </si>
  <si>
    <t>WOS:000456028900029</t>
  </si>
  <si>
    <t>Microplastic-induced damage in early embryonal development of sea urchin Sphaerechinus granularis</t>
  </si>
  <si>
    <t>Two microplastic sets, polystyrene (PS) and polymethyl methacrylate (PMMA), were tested for adverse effects on early life stages of Sphaerechinus granularis sea urchins. Microparticulate PS (10, 80 and 230 mu m diameter) and PMMA (10 and 50 mu m diameter) were tested on developing S. granularis embryos from 10 min post-fertilisation (p-f) to the pluteus larval stage (72 h p-f), at concentrations ranging from 0.1 to 5 mg L-1. Both PS and PMMA exposures resulted in significant concentration-related increase of developmental defects and of microplastic uptake in plutei. Moreover, embryo exposures to PS and PMMA (5 and 50 mg L-1) from 10 min to 5 h p-f resulted in a significant increase of cytogenetic abnormalities, expressed as significantly increased mitotic aberrations, while mitotoxicity (as % embryos lacking active mitoses) was observed in embryos exposed to PS, though not to PMMA. When S. granularis sperm suspensions were exposed for 10 min to PS or to PMMA (0.1-5 mg L-1), a significant decrease of fertilisation success was observed following sperm exposure to 0.1 mg L-1 PS, though not to higher PS concentrations nor to PMMA. Sperm pretreatment, however, resulted in significant offspring damage, as excess developmental defects in plutei, both following sperm exposure to PS and PMMA, thus suggesting transmissible damage from sperm pronuclei to the offspring. The overall results point to relevant developmental, cytogenetic and genotoxic effects of PS and PMMA microplastics to S. granularis early life stages, warranting further investigations of other microplastics and other target biota.</t>
  </si>
  <si>
    <t>10.1016/j.envres.2019.108815</t>
  </si>
  <si>
    <t>Trifuoggi, M; Pagano, G; Oral, R; Pavicic-Hamer, D; Buric, P; Kovacic, I; Siciliano, A; Toscanesi, M; Thomas, PJ; Paduano, L; Guida, M; Lyons, DM</t>
  </si>
  <si>
    <t>Trifuoggi, Marco; Pagano, Giovanni; Oral, Rahime; Pavicic-Hamer, Dijana; Buric, Petra; Kovacic, Ines; Siciliano, Antonietta; Toscanesi, Maria; Thomas, Philippe J.; Paduano, Luigi; Guida, Marco; Lyons, Daniel M.</t>
  </si>
  <si>
    <t>Microplastic; Polystyrene; Polymethylmethacrylate; Developmental defect; Genetic damage</t>
  </si>
  <si>
    <t>POLYSTYRENE MICROPLASTICS; VIRGIN MICROPLASTICS; LARVAL DEVELOPMENT; ACUTE TOXICITY; DAPHNIA-MAGNA; INGESTION; FISH; NANOPARTICLES; POLYETHYLENE; METABOLISM</t>
  </si>
  <si>
    <t>[Trifuoggi, Marco; Pagano, Giovanni; Siciliano, Antonietta; Toscanesi, Maria; Paduano, Luigi; Guida, Marco] Federico II Naples Univ, I-80126 Naples, Italy; [Oral, Rahime] Ege Univ, Fac Fisheries, TR-35100 Izmir, Turkey; [Pavicic-Hamer, Dijana; Lyons, Daniel M.] Rudjer Boskovic Inst, Ctr Marine Res, HR-52210 Rovinj, Croatia; [Buric, Petra; Kovacic, Ines] Juraj Dobrila Univ Pula, HR-52100 Pula, Croatia; [Thomas, Philippe J.] Carleton Univ, Natl Wildlife Res Ctr, Environm &amp; Climate Change Canada, Sci &amp; Technol Branch, Ottawa, ON K1A 0H3, Canada</t>
  </si>
  <si>
    <t>University of Naples Federico II; Ege University; Rudjer Boskovic Institute; University of Juraj Dobrila Pula; Carleton University; Environment &amp; Climate Change Canada; Canadian Wildlife Service; National Wildlife Research Centre - Canada</t>
  </si>
  <si>
    <t>guida, Marco/K-2262-2013; Thomas, Philippe/ABH-9035-2020; Toscanesi, Maria/AAG-6988-2022; paduano, luigi/F-6443-2013; Toscanesi, Maria/AFL-6884-2022; Kovacic, Ines/GXG-5332-2022; Siciliano, Antonietta/AAD-6247-2020</t>
  </si>
  <si>
    <t>toscanesi, maria/0000-0002-7802-1261; Buric, Petra/0000-0002-4075-3934</t>
  </si>
  <si>
    <t>This work has been supported by the Croatian Science Foundation under project IP-2018-01-5351. Financial support from Environment and Climate Change Canada is also gratefully acknowledged. Declarations of conflict: none.</t>
  </si>
  <si>
    <t>JO0DY</t>
  </si>
  <si>
    <t>WOS:000497259100061</t>
  </si>
  <si>
    <t>Transgenerational effects of polyethylene microplastic fragments containing benzophenone-3 additive in Daphnia magna</t>
  </si>
  <si>
    <t>Maternal exposure to microplastics (MPs) plays an important role in the fitness of unexposed progeny. In this study, the transgenerational effects of polyethylene MP fragments (17.35 +/- 5.50 mu m) containing benzophenone3 (BP-3; 2.85 +/- 0.16% w/w) on chronic toxicity (21 d) in Daphnia magna were investigated across four generations. Only D. magna in the F0 generation was exposed to MP fragments, MP/BP-3 fragments, and BP-3 leachate to identify the transgenerational effect in the F3 generation. The mortality of D. magna induced by MP and MP/ BP-3 fragments was recovered in the F3 generation, but somatic growth and reproduction significantly decreased compared to the control. Additionally, reproduction of D. magna exposed to BP-3 leachate significantly decreased in the F3 generation. These findings confirmed the transgenerational effects of MP fragment and BP-3 additive on D. magna. Particularly, the adverse effect on D. magna reproduction seemed to be cumulative across four generations for MP/BP-3 fragments, while it was an acclimation trend for BP-3 leachate. However, there was no significant difference in global DNA methylation in D. magna across four generations, thus requiring a gene specific DNA methylation study to identify different epigenetic transgenerational inheritance.</t>
  </si>
  <si>
    <t>10.1016/j.jhazmat.2022.129225</t>
  </si>
  <si>
    <t>Song, J; Kim, C; Na, J; Sivri, N; Samanta, P; Jung, J</t>
  </si>
  <si>
    <t>Song, Jinyoung; Kim, Changhae; Na, Joorim; Sivri, Nueket; Samanta, Palas; Jung, Jinho</t>
  </si>
  <si>
    <t>Chronic toxicity; Microplastic; Multigeneration; Plastic additive; Zooplankton</t>
  </si>
  <si>
    <t>WASTE-WATER TREATMENT; SURFACE WATERS; UV FILTERS; TOXICITY; QUANTIFICATION; PARTICLES; INGESTION; IMPACT; EXPOSURE; REMOVAL</t>
  </si>
  <si>
    <t>[Song, Jinyoung; Kim, Changhae; Na, Joorim; Jung, Jinho] Korea Univ, Div Environm Sci &amp; Ecol Engn, Seoul 02841, South Korea; [Sivri, Nueket] Istanbul Univ Cerrahpasa, Dept Environm Engn, TR-34320 Istanbul, Turkey; [Samanta, Palas] Univ North Bengal, Dept Environm Sci, Sukanta Mahavidyalaya, Raja Rammohunpur, West Bengal, India</t>
  </si>
  <si>
    <t>Korea University; Istanbul University - Cerrahpasa; University of North Bengal</t>
  </si>
  <si>
    <t>Jung, J (corresponding author), Korea Univ, Div Environm Sci &amp; Ecol Engn, Seoul 02841, South Korea.</t>
  </si>
  <si>
    <t>jjung@korea.ac.kr</t>
  </si>
  <si>
    <t>Na, Joorim/K-2358-2017</t>
  </si>
  <si>
    <t>Na, Joorim/0000-0001-9306-9231; Song, Jinyoung/0000-0002-5416-5965</t>
  </si>
  <si>
    <t>National Research Foundation of Korea (NRF) - Korean government [NRF-2019R1A2C1002890]</t>
  </si>
  <si>
    <t>National Research Foundation of Korea (NRF) - Korean government(National Research Foundation of Korea)</t>
  </si>
  <si>
    <t>Funding This study was supported by a grant from the National Research Foundation of Korea (NRF) , funded by the Korean government (NRF-2019R1A2C1002890) .</t>
  </si>
  <si>
    <t>2C5VW</t>
  </si>
  <si>
    <t>WOS:000810936900005</t>
  </si>
  <si>
    <t>Use of a convolutional neural network for the classification of microbeads in urban wastewater</t>
  </si>
  <si>
    <t>Scientists are on the lookout for a practical model that can serve as a standard for sorting out, identifying, and characterizing microplastics which are common occurrences in water sources and wastewaters. The microbeads (MBs) used in cosmetics and discharged into the sewer systems after use cause substantial microplastics pollution in the receiving waters. Today, the use of plastic microbeads in cosmetics is banned. The existing use cases are to be discontinued within a few years. Yet, there are no restrictions regarding the use of microbeads in a number of industries, cleaning products, pharmaceuticals and medical practices. In this context, the determination and classification of MBs which had so far been discharged to water sources and which continue to be discharged, represent crucial problems. In this work, we examined a new approach for the classification of MBs based on microscopic images. For classification purposes, Convolutional Neural Network (CNN) -a Deep Learning algorithm- was employed, whereas GoogLeNet architecture served as the model. The network is built from scratch, and trained then after tested on a total of 42928 images containing MBs in 5 distinct cleansers. The study performed with the CNN which achieved a classification performance of 89% for MBs in wastewater. (C) 2018 Elsevier Ltd. All rights reserved.</t>
  </si>
  <si>
    <t>10.1016/j.chemosphere.2018.10.084</t>
  </si>
  <si>
    <t>Yurtsever, M; Yurtsever, U</t>
  </si>
  <si>
    <t>Yurtsever, Meral; Yurtsever, Ulas</t>
  </si>
  <si>
    <t>Deep learning; Convolutional neural network; Microbeads classification; Microplastics; Wastewater</t>
  </si>
  <si>
    <t>MICROPLASTIC POLLUTION; MARINE-ENVIRONMENT; IDENTIFICATION; PRODUCTS; FATE; TRANSPORT; PLASTICS; RELEASE; IMAGES</t>
  </si>
  <si>
    <t>[Yurtsever, Meral] Sakarya Univ, Dept Environm Engn, TR-54187 Sakarya, Turkey; [Yurtsever, Ulas] Sakarya Univ, Dept Comp &amp; Informat Engn, TR-54187 Sakarya, Turkey</t>
  </si>
  <si>
    <t>Sakarya University; Sakarya University</t>
  </si>
  <si>
    <t>Yurtsever, U (corresponding author), Sakarya Univ, Dept Comp &amp; Informat Engn, TR-54187 Sakarya, Turkey.</t>
  </si>
  <si>
    <t>mevci@sakarya.edu.tr; ulas@sakarya.edu.tr</t>
  </si>
  <si>
    <t>Yurtsever, Meral/GYU-5307-2022; Yurtsever, Ulaş/M-1814-2015</t>
  </si>
  <si>
    <t>Yurtsever, Meral/0000-0002-7965-1919; Yurtsever, Ulaş/0000-0003-3438-6872</t>
  </si>
  <si>
    <t>Scientific and Technological Research Council of Turkey (TUBITAK) [115Y303]; Research Fund of the Sakarya University (BAP) [2016-01-12-005]</t>
  </si>
  <si>
    <t>Scientific and Technological Research Council of Turkey (TUBITAK)(Turkiye Bilimsel ve Teknolojik Arastirma Kurumu (TUBITAK)); Research Fund of the Sakarya University (BAP)</t>
  </si>
  <si>
    <t>Authors are grateful to Prof. Dr. Jorg Krampe (Institute for Water Quality, Resource and Waste Management, TU Wien) for encouragement to work on this crucial issue. This study was supported by The Scientific and Technological Research Council of Turkey (TUBITAK-Project No:115Y303) and Research Fund of the Sakarya University (BAP-Project No: 2016-01-12-005).</t>
  </si>
  <si>
    <t>HC0NH</t>
  </si>
  <si>
    <t>WOS:000451494600029</t>
  </si>
  <si>
    <t>Exposure to a microplastic mixture is altering the life traits and is causing deformities in the non-biting midge Chironomus riparius Meigen (1804)</t>
  </si>
  <si>
    <t>The effect of microplastics (MP) exposure on the chironomid species Chironomus riparius Meigen, 1804 was investigated using the OECD sediment and water toxicity test. Chironomid larvae were exposed to an environmentally relevant low microplastics concentration (LC), a high microplastics concentration (HC) and a control (C). The LC was 0.007 g m(-2) on the water surface + 2 g m(-3) in the water column + 8 g m(-2) in the sediment, and the HC was 10 X higher than this for each exposure. The size of the majority of the manufactured microplastic pellets varied between 20 and 100 mm. The MP mixture consisted of: polyethylene-terephtalate (PET), polystyrene (PS), polyvinyl-chloride (PVC) and polyamide (PA) in a ratio of 45%: 15%: 20%: 20%, respectively, for the sediment exposure; 100% polyethylene for the water column exposure; and 50% polyethylene: 50% polypropylene for the water surface exposure. Different endpoints were monitored, including morphological changes in the mandibles and mentums of 4th instar larvae, morphological changes in the wings, mortality, emergence ratio, and developmental time. A geometric morphometric analysis showed a tendency toward widening of the wings, elongation of the mentums and changing the shape of the mandibles in specimens exposed to both concentrations of microplastics. The development time of C. riparius was significantly prolonged by the MP treatment: 13.8 +/- 0.5; 14.4 +/- 0.6; and 15.3 +/- 0.4 days (mean +/- SD) in the C, LC, and HC, respectively. This study indicates that even environmentally relevant concentrations of MP mixture have a negative influence on C. riparius, especially at the larval stage. (C) 2020 Elsevier Ltd. All rights reserved.</t>
  </si>
  <si>
    <t>10.1016/j.envpol.2020.114248</t>
  </si>
  <si>
    <t>Stankovic, J; Milosevic, D; Savic-Zdrakovic, D; Yalcin, G; Yildiz, D; Beklioglu, M; Jovanovic, B</t>
  </si>
  <si>
    <t>Stankovic, Jelena; Milosevic, Djuradj; Savic-Zdrakovic, Dimitrija; Yalcin, Gulce; Yildiz, Dilvin; Beklioglu, Meryem; Jovanovic, Boris</t>
  </si>
  <si>
    <t>Microplastics; Chironomids; Toxicity; Ecotoxicology; Geometric morphometrics; Development</t>
  </si>
  <si>
    <t>POLYETHYLENE MICROPLASTICS; PLASTIC DEBRIS; LARVAE; ACCUMULATION; SEDIMENT; TRANSPORT; WATER; ENVIRONMENT; POLLUTANTS; ABUNDANCE</t>
  </si>
  <si>
    <t>[Stankovic, Jelena; Milosevic, Djuradj; Savic-Zdrakovic, Dimitrija] Univ Nis, Fac Sci &amp; Math, Dept Biol &amp; Ecol, Visegradska 33, Nish 18000, Serbia; [Yalcin, Gulce; Yildiz, Dilvin; Beklioglu, Meryem] Middle East Tech Univ, Biol Sci Dept, Limnol Lab, Ankara, Turkey; [Beklioglu, Meryem] Middle East Tech Univ, Ecosyst Res &amp; Implementat Ctr EKOSAM, Ankara, Turkey; [Jovanovic, Boris] Iowa State Univ, Dept Nat Resource Ecol &amp; Management, Ames, IA USA</t>
  </si>
  <si>
    <t>University of Nis; Middle East Technical University; Middle East Technical University; Iowa State University</t>
  </si>
  <si>
    <t>Stankovic, J (corresponding author), Univ Nis, Fac Sci &amp; Math, Dept Biol &amp; Ecol, Visegradska 33, Nish 18000, Serbia.</t>
  </si>
  <si>
    <t>jelena.stankovic2@pmf.edu.rs</t>
  </si>
  <si>
    <t>beklioglu, meryem/ABA-1630-2020</t>
  </si>
  <si>
    <t>Yalcin, Gulce/0000-0002-2921-0197; Savic Zdravkovic, Dimitrija/0000-0002-3134-0230; Stankovic, Jelena/0000-0003-1560-3755; Jovanovic, Boris/0000-0003-3970-805X</t>
  </si>
  <si>
    <t>AQUACOSM - European Commission EU [731065]; Ministry of Education, Science and Technological Development of the Republic of Serbia [iii43002]</t>
  </si>
  <si>
    <t>AQUACOSM - European Commission EU; Ministry of Education, Science and Technological Development of the Republic of Serbia(Ministry of Education, Science &amp; Technological Development, Serbia)</t>
  </si>
  <si>
    <t>This study was supported by AQUACOSM: the EU-network connecting freshwater and marine large experimental research infrastructures, funded by the European Commission EU H2020INFRAIA-project No 731065, and by Grant iii43002 (Biosensing technologies and a global system for long-term research and the integrated management of ecosystems) by the Ministry of Education, Science and Technological Development of the Republic of Serbia.</t>
  </si>
  <si>
    <t>WOS:000533524300077</t>
  </si>
  <si>
    <t>Polymer Chemical Identity as a Key Factor in Microplastic-Insecticide Antagonistic Effects during Embryogenesis of Sea Urchin Arbacia lixula</t>
  </si>
  <si>
    <t>As a proxy for pollutants that may be simultaneously present in urban wastewater streams, the effects of two microplastics-polystyrene (PS; 10, 80 and 230 mu m diameter) and polymethylmethacrylate (PMMA; 10 and 50 mu m diameter)-on fertilisation and embryogenesis in the sea urchin Arbacia lixula with co-exposure to the pyrethroid insecticide cypermethrin were investigated. Synergistic or additive effects were not seen for plastic microparticles (50 mg L-1) in combination with cypermethrin (10 and 1000 mu g L-1) based on evaluation of skeletal abnormalities or arrested development and death of significant numbers of larvae during the embryotoxicity assay. This behaviour was also apparent for male gametes pretreated with PS and PMMA microplastics and cypermethrin, where a reduction in sperm fertilisation ability was not evidenced. However, a modest reduction in the quality of the offspring was noted, suggesting that there may be some transmissible damage to the zygotes. PMMA microparticles were more readily taken up than PS microparticles, which could suggest surface chemical identity as potentially modulating the affinity of larvae for specific plastics. In contrast, significantly reduced toxicity was noted for the combination of PMMA microparticles and cypermethrin (100 mu g L-1), and may be related to less ready desorption of the pyrethroid than PS, as well as cypermethrin activating mechanisms that result in reduced feeding and hence decreased ingestion of microparticles.</t>
  </si>
  <si>
    <t>10.3390/ijms24044136</t>
  </si>
  <si>
    <t>Buric, P; Kovacic, I; Jurkovic, L; Tez, S; Oral, R; Landeka, N; Lyons, DM</t>
  </si>
  <si>
    <t>Buric, Petra; Kovacic, Ines; Jurkovic, Lara; Tez, Serkan; Oral, Rahime; Landeka, Nediljko; Lyons, Daniel M.</t>
  </si>
  <si>
    <t>INTERNATIONAL JOURNAL OF MOLECULAR SCIENCES</t>
  </si>
  <si>
    <t>coastal; cypermethrin; embryotoxicity; leachate; pesticide; PMMA; polymethylmethacrylate; polystyrene; pyrethroid; urban wastewater</t>
  </si>
  <si>
    <t>VIRGIN MICROPLASTICS; LARVAL DEVELOPMENT; ACUTE TOXICITY; INGESTION; POLYETHYLENE; POLYPROPYLENE; POLLUTANTS; LEACHATE; RELEASE; FISH</t>
  </si>
  <si>
    <t>[Buric, Petra] Juraj Dobrila Univ Pula, Fac Nat Sci, Pula 52100, Croatia; [Kovacic, Ines] Juraj Dobrila Univ Pula, Fac Educ Sci, Pula 52100, Croatia; [Jurkovic, Lara; Lyons, Daniel M.] Rudjer Boskovic Inst, Ctr Marine Res, Pula 52210, Croatia; [Tez, Serkan; Oral, Rahime] Ege Univ, Fac Fisheries, TR-35100 Izmir, Turkiye; [Landeka, Nediljko] Teaching Inst Publ Hlth Istrian Cty, Pula 52100, Croatia</t>
  </si>
  <si>
    <t>University of Juraj Dobrila Pula; University of Juraj Dobrila Pula; Rudjer Boskovic Institute; Ege University</t>
  </si>
  <si>
    <t>Lyons, DM (corresponding author), Rudjer Boskovic Inst, Ctr Marine Res, Pula 52210, Croatia.</t>
  </si>
  <si>
    <t>Buric, Petra/0000-0002-4075-3934; Kovacic, Ines/0000-0001-8929-1614</t>
  </si>
  <si>
    <t>Croatian Science Foundation [IP-2018-01-5351]</t>
  </si>
  <si>
    <t>Croatian Science Foundation</t>
  </si>
  <si>
    <t>This work has been supported by the Croatian Science Foundation under project IP-2018-01-5351. Financial support in the form of travel bursaries to PB and IK from the Juraj Dobrile University of Pula is also gratefully acknowledged.</t>
  </si>
  <si>
    <t>1422-0067</t>
  </si>
  <si>
    <t>INT J MOL SCI</t>
  </si>
  <si>
    <t>Int. J. Mol. Sci.</t>
  </si>
  <si>
    <t>Biochemistry &amp; Molecular Biology; Chemistry, Multidisciplinary</t>
  </si>
  <si>
    <t>Biochemistry &amp; Molecular Biology; Chemistry</t>
  </si>
  <si>
    <t>9H0UU</t>
  </si>
  <si>
    <t>WOS:000938557600001</t>
  </si>
  <si>
    <t>Effects of Romanian Student's Awareness and Needs Regarding Plastic Waste Management</t>
  </si>
  <si>
    <t>The purpose of this study is to examine the effects of needs and awareness of university students on their environmental behaviour. With this purpose the data was collected from 537 students from the University of Cluj Napoca, Romania, from the engineering and management specializations respectively via an online questionnaire. The questionnaire was structured in four parts including 29 questions in total. The first part is meant to identify the students' characteristics (gender, field of study, participation and attendance in field-specific activities, and if he/she is an environmentalist). The second part is meant to determine the students' awareness regarding plastic and plastic pollution. Another part is meant to determine the needs of students and the manner in which they learn and gather information. The last part allows the determination of the students' behavior in their daily life (use of bio plastic bags, environmental protection). The results show that students have enough information about biodegradable plastic but they act depending on the situation, respecting or not the rules for selecting plastic waste. The female student' pay a lot of attention to selecting and choosing bioplastic products. The male students are directly involved in cleaning nature. Management students pay attention to small details as compared to engineering students who choose bioplastic even though the costs are higher. Related with their thoughts the factors effecting the opinion of either they are environmentalist or not are also examined. Being aware of the plastic waste show significant effect from the sides of awareness and behaviour. Finally, the structural model show that strongest connection is between students' awareness about the plastic problem and the need to adapt to new regulations. Using the model universities can promote the importance of bioplastic through study programs or by involving students in volunteering activities, through their active involvement in environmental protection, and selective waste recycling.</t>
  </si>
  <si>
    <t>10.3390/su15086811</t>
  </si>
  <si>
    <t>Boca, GD; Saracli, S</t>
  </si>
  <si>
    <t>Boca, Gratiela Dana; Saracli, Sinan</t>
  </si>
  <si>
    <t>plastic waste; student's awareness; behavior; needs; plastic waste management</t>
  </si>
  <si>
    <t>MICROPLASTIC POLLUTION; PLS-SEM; BEHAVIOR; SUSTAINABILITY</t>
  </si>
  <si>
    <t>[Boca, Gratiela Dana] Tech Univ Cluj Napoca, Fac Sci, Dept Econ, Baia Mare 430122, Romania; [Saracli, Sinan] Balikesir Univ, Fac Med, Dept Biostat, TR-10145 Balikesir, Turkiye</t>
  </si>
  <si>
    <t>Technical University of Cluj Napoca; Balikesir University</t>
  </si>
  <si>
    <t>Boca, GD (corresponding author), Tech Univ Cluj Napoca, Fac Sci, Dept Econ, Baia Mare 430122, Romania.;Saracli, S (corresponding author), Balikesir Univ, Fac Med, Dept Biostat, TR-10145 Balikesir, Turkiye.</t>
  </si>
  <si>
    <t>gratiela.boca@econ.utcluj.ro; ssaracli@balikesir.edu.tr</t>
  </si>
  <si>
    <t>SARACLI, SINAN/L-5282-2013; BOCA, Gratiela Dana/HZL-1079-2023</t>
  </si>
  <si>
    <t>SARACLI, SINAN/0000-0003-4662-8031; BOCA, Gratiela Dana/0000-0003-3684-2384</t>
  </si>
  <si>
    <t>E8JZ4</t>
  </si>
  <si>
    <t>WOS:000977953900001</t>
  </si>
  <si>
    <t>Microplastics as carriers of hydrophilic pollutants in an aqueous environment</t>
  </si>
  <si>
    <t>Plastic materials such as polyethylene (PE), polyvinyl chloride (PVC), and polyamide nylon 6 (PN6) are extensively used worldwide. Significant quantities end up in the environment as waste, which gradually deteriorate and may travel for long distances. In this study, the capacity of these microplastics to sorb RR 120, an anionic dye commonly found in textile wastewaters, was investigated. PN6 showed the highest sorption capacity of 4.80 mg g(-1), at a dose of 0.4 g and pH 2, whereas increasing the dose of the microplastic resulted in a gradual decrease of the sorption capacity for all materials. Increasing the dye concentration, resulted in higher sorption capacities. The FTIR analysis of the microplastics before and after sorption of RR 120, indicated no chemical bonding pointing out the absence of covalent bonds with specific surface groups of the microplastics in the sorption of RR 120. A plausible explanation for the highest sorption capacity of PN6 is the presence of N and O, which can readily form H bonds with the hydroxyl groups of RR 120.(c) 2021 Elsevier B.V. All rights reserved.</t>
  </si>
  <si>
    <t>10.1016/j.molliq.2021.118182</t>
  </si>
  <si>
    <t>Anastopoulos, I; Pashalidis, I; Kayan, B; Kalderis, D</t>
  </si>
  <si>
    <t>Anastopoulos, Ioannis; Pashalidis, Ioannis; Kayan, Berkant; Kalderis, Dimitrios</t>
  </si>
  <si>
    <t>JOURNAL OF MOLECULAR LIQUIDS</t>
  </si>
  <si>
    <t>Microplastics; Textile wastewater; Sorption; Polyamide nylon 6; Polyethylene; Polyvinyl chloride</t>
  </si>
  <si>
    <t>DIELECTRIC-CONSTANT</t>
  </si>
  <si>
    <t>[Anastopoulos, Ioannis] Univ Ioannina, Dept Agr, UoI Kostakii Campus, Arta 47040, Greece; [Pashalidis, Ioannis] Univ Cyprus, Dept Chem, POB 20537, CY-1678 Nicosia, Cyprus; [Kayan, Berkant] Aksaray Univ, Fac Arts &amp; Sci, Dept Chem, Aksaray, Turkey; [Kalderis, Dimitrios] Hellen Mediterranean Univ, Dept Elect Engn, Iraklion 73100, Greece</t>
  </si>
  <si>
    <t>University of Ioannina; University of Cyprus; Aksaray University; Hellenic Mediterranean University</t>
  </si>
  <si>
    <t>Anastopoulos, I (corresponding author), Univ Ioannina, Dept Agr, UoI Kostakii Campus, Arta 47040, Greece.</t>
  </si>
  <si>
    <t>anastopoulos_ioannis@windowslive.com</t>
  </si>
  <si>
    <t>Hellenic Mediterranean University</t>
  </si>
  <si>
    <t>Ioannis Anastopoulos and Dimitrios Kalderis would like to thank the Hellenic Mediterranean University for supporting this work through the 1st Post-doctoral research funding programme.</t>
  </si>
  <si>
    <t>0167-7322</t>
  </si>
  <si>
    <t>1873-3166</t>
  </si>
  <si>
    <t>J MOL LIQ</t>
  </si>
  <si>
    <t>J. Mol. Liq.</t>
  </si>
  <si>
    <t>Chemistry, Physical; Physics, Atomic, Molecular &amp; Chemical</t>
  </si>
  <si>
    <t>Chemistry; Physics</t>
  </si>
  <si>
    <t>0V2DP</t>
  </si>
  <si>
    <t>WOS:000788154500009</t>
  </si>
  <si>
    <t>Evaluation of ciprofloxacin (CIP) and clarithromycin (CLA) adsorption with weathered PVC microplastics</t>
  </si>
  <si>
    <t>The sorption kinetics of two of the most frequently used antibiotics onto recycled (weathered) polyvinyl chloride (PVC) was investigated, using Freundlich and Langmuir isotherm models. Various experimental conditions were set, including pH, contact time, rotational speed, temperature, and initial concentration. The batch experimental results indicated that Freundlich model was better fitted than Langmuir (R-2: 98.7 and 84.7, for CIP and CLA respectively). Maximum adsorption capacity is 45.9 mg/g and 22.0 mg/g for CIP and CLA, respectively. Enthalpy (Delta H), and entropy (Delta S) values were negative for CIP, indicating that the reaction was exothermic and spontaneous, respectively. It was vice versa for CLA. Field emission scanning electron microscope (FESEM) and Fourier transform infrared spectrometer (FT-IR) analysis confirmed the physical adsorption mechanism. The results demonstrated that the recycled PVC microplastic has a good capacity for adsorption for both antibiotics.</t>
  </si>
  <si>
    <t>10.1080/10934529.2023.2198475</t>
  </si>
  <si>
    <t>Osman, D; Uyanik, I; Mihciokur, H; Oezkan, O</t>
  </si>
  <si>
    <t>Osman, Duygu; Uyanik, Ibrahim; Mihciokur, Hamdi; oezkan, Oktay</t>
  </si>
  <si>
    <t>Freundlich; Langmuir; isotherms; kinetics; antibiotics; microplastics</t>
  </si>
  <si>
    <t>FLUOROQUINOLONE ANTIBIOTICS; SORPTION; REMOVAL; PERFORMANCE; POLLUTANTS; KINETICS; LAKES; ACID</t>
  </si>
  <si>
    <t>[Osman, Duygu; Uyanik, Ibrahim; Mihciokur, Hamdi; oezkan, Oktay] Erciyes Univ, Environm Engn Dept, Kayseri, Turkiye; [Uyanik, Ibrahim] Erciyes Univ, Environm Problems &amp; Cleaner Prod Res &amp; Applicat Ct, Kayseri, Turkiye; [Uyanik, Ibrahim] Erciyes Univ, Environm Engn Dept, TR-38030 Kayseri, Turkiye</t>
  </si>
  <si>
    <t>Erciyes University; Erciyes University; Erciyes University</t>
  </si>
  <si>
    <t>Uyanik, I (corresponding author), Erciyes Univ, Environm Engn Dept, TR-38030 Kayseri, Turkiye.</t>
  </si>
  <si>
    <t>iuyanik@erciyes.edu.tr</t>
  </si>
  <si>
    <t>Osman, Duygu/0000-0001-5930-9633; Uyanik, Ibrahim/0000-0003-4850-6708</t>
  </si>
  <si>
    <t>Scientific and Technological Research Council of Turkey [2209-A]</t>
  </si>
  <si>
    <t>This study is funded by The Scientific and Technological Research Council of Turkey, 2209-A student project. We also thank to Halit Yildiz for his assistance in laboratory.</t>
  </si>
  <si>
    <t>2023 APR 2</t>
  </si>
  <si>
    <t>E0LS3</t>
  </si>
  <si>
    <t>WOS:000972558800001</t>
  </si>
  <si>
    <t>Environmental factors in epithelial barrier dysfunction</t>
  </si>
  <si>
    <t>The main interfaces controlling and attempting to homeostatically balance communications between the host and the environment are the epithelial barriers of the skin, gastrointestinal system, and airways. The epithelial barrier constitutes the first line of physical, chemical, and immunologic defenses and provides a protective wall against environmental factors. Following the industrial revolution in the 19th century, urbanization and socioeconomic development have led to an increase in energy consumption, and waste discharge, leading to increased exposure to air pollution and chemical hazards. Particularly after the 1960s, biological and chemical insults from the surrounding environment-the exposome have been disrupting the physical integrity of the barrier by degrading the intercellular barrier proteins at tight and adherens junctions, triggering epithelial alarmin cytokine responses such as IL-25, IL-33, and thymic stromal lymphopoietin, and increasing the epithelial barrier permeability. A typical type 2 immune response develops in affected organs in asthma, rhinitis, chronic rhinosinusitis, eosinophilic esophagitis, food allergy, and atopic dermatitis. The aim of this article was to discuss the effects of environmental factors such as protease enzymes of allergens, detergents, tobacco, ozone, particulate matter, diesel exhaust, nanoparticles, and microplastic on the integrity of the epithelial barriers in the context of epithelial barrier hypothesis.</t>
  </si>
  <si>
    <t>10.1016/j.jaci.2020.04.024</t>
  </si>
  <si>
    <t>Sozener, ZC; Cevhertas, L; Nadeau, K; Akdis, M; Akdis, CA</t>
  </si>
  <si>
    <t>Soezener, Zeynep Celebi; Cevhertas, Lacin; Nadeau, Kari; Akdis, Muebeccel; Akdis, Cezmi A.</t>
  </si>
  <si>
    <t>JOURNAL OF ALLERGY AND CLINICAL IMMUNOLOGY</t>
  </si>
  <si>
    <t>Epithelial barrier; detergents; particulate matter; ozone; nanoparticles; microplastics; protease allergens</t>
  </si>
  <si>
    <t>PARTICULATE MATTER; INTESTINAL BARRIER; CLEANING PRODUCTS; AIRWAY EPITHELIUM; ATOPIC-DERMATITIS; OXIDATIVE STRESS; TIGHT; ASTHMA; SKIN; EXPOSURE</t>
  </si>
  <si>
    <t>[Soezener, Zeynep Celebi; Cevhertas, Lacin; Akdis, Muebeccel; Akdis, Cezmi A.] Univ Zurich, Swiss Inst Allergy &amp; Asthma Res SIAF, Herman Burchard Str 9, Davos, Switzerland; [Soezener, Zeynep Celebi] Ankara Univ, Dept Chest Dis, Div Allergy &amp; Immunol, Sch Med, Ankara, Turkey; [Cevhertas, Lacin] Bursa Uludag Univ, Inst Hlth Sci, Dept Med Immunol, Bursa, Turkey; [Cevhertas, Lacin; Akdis, Cezmi A.] Christine Kuhne Ctr Allergy Res &amp; Educ CK CARE, Davos, Switzerland; [Nadeau, Kari] Stanford Univ, Naddisy Fdn, Sean Parker Asthma &amp; Allergy Ctr, Stanford, CA 94305 USA</t>
  </si>
  <si>
    <t>Swiss Institute of Allergy &amp; Asthma Research; University of Zurich; Ankara University; Uludag University; Stanford University</t>
  </si>
  <si>
    <t>Akdis, CA (corresponding author), Swiss Inst Allergy &amp; Asthma Res, Herman Burchard Str 9, CH-7265 Davos, Wolfgang, Switzerland.</t>
  </si>
  <si>
    <t>akdisac@siaf.uzh.ch</t>
  </si>
  <si>
    <t>Sözener, zeynep çelebi/X-3688-2019; Akdis, Cezmi/AAV-4844-2020</t>
  </si>
  <si>
    <t>Akdis, Cezmi/0000-0001-8020-019X</t>
  </si>
  <si>
    <t>MOSBY-ELSEVIER</t>
  </si>
  <si>
    <t>360 PARK AVENUE SOUTH, NEW YORK, NY 10010-1710 USA</t>
  </si>
  <si>
    <t>0091-6749</t>
  </si>
  <si>
    <t>1097-6825</t>
  </si>
  <si>
    <t>J ALLERGY CLIN IMMUN</t>
  </si>
  <si>
    <t>J. Allergy Clin. Immunol.</t>
  </si>
  <si>
    <t>Allergy; Immunology</t>
  </si>
  <si>
    <t>LW4ZZ</t>
  </si>
  <si>
    <t>WOS:000539157800004</t>
  </si>
  <si>
    <t>Vulnerability of municipal solid waste: An emerging threat to aquatic ecosystems</t>
  </si>
  <si>
    <t>Dumping waste materials into aquatic ecosystems leads to pollution, which directly and indirectly poses a danger to all life forms. Currently, huge quantities of wastes are generated at a global scale with varying constituents, including organic fractions, emerging contaminants and toxic metals. These wastes release concentrated contaminants (leachates), which are lethal for all ecosystems around the globe because they contain varying concentrations of chemical constituents with BOD5 and COD in the order of 2 x 10(4)-2.7 x 10(4) mg/L, and 3.4 x 10(4)-3.8 x 10(4) mg/L, respectively. Herein, in-depth knowledge of municipal solid waste dumping into the aquatic ecosystems, changes in physicochemical characteristics, availability of in-/organic contaminants, and long-term unhealthy effects are presented. Moreover, an attempt has been made here to summarize the facts related to identifying the deadly impacts of waste on different ecosystem components. The unresolved challenges of municipal waste management are emphasized, which will help employ suitable waste management techniques and technologies to conserve the everlasting freshwater resources on earth.</t>
  </si>
  <si>
    <t>10.1016/j.chemosphere.2021.132223</t>
  </si>
  <si>
    <t>Bhat, RA; Singh, DV; Qadri, H; Dar, GH; Dervash, MA; Bhat, SA; Unal, BT; Ozturk, M; Hakeem, KR; Yousaf, B</t>
  </si>
  <si>
    <t>Bhat, Rouf Ahmad; Singh, Dig Vijay; Qadri, Humaira; Dar, Gowhar Hamid; Dervash, Moonisa Aslam; Bhat, Shakeel Ahmad; Unal, Bengu Turkyilmaz; Ozturk, Munir; Hakeem, Khalid Rehman; Yousaf, Balal</t>
  </si>
  <si>
    <t>Eutrophication; Heavy metals; Environmental hazard; Leachate; Escherichia coli; Water quality</t>
  </si>
  <si>
    <t>HEAVY-METAL POLLUTION; WATER-QUALITY; LANDFILL LEACHATE; SURFACE-WATER; MICROPLASTIC INGESTION; DRINKING-WATER; MANAGEMENT; COPPER; GROUNDWATER; CHROMIUM</t>
  </si>
  <si>
    <t>[Bhat, Rouf Ahmad; Singh, Dig Vijay; Dervash, Moonisa Aslam] Sher E Kashmir Univ Agr Sci &amp; Technol, Div Environm Sci, Kashmir, India; [Qadri, Humaira; Dar, Gowhar Hamid] Cluster Univ Srinagar, Sri Pratap Coll, Dept Environm Sci, Srinagar, Jammu &amp; Kashmir, India; [Bhat, Shakeel Ahmad] Sher E Kashmir Univ Agr Sci &amp; Technol, Div Soil &amp; Water Engn, COAE&amp;T, Kashmir, India; [Unal, Bengu Turkyilmaz] Nigde Omer Halisdemir Univ, Arts &amp; Sci Fac, Dept Biotechnol, Nigde, Turkey; [Ozturk, Munir] Ege Univ, Bot Dept, Izmir, Turkey; [Ozturk, Munir] Ege Univ, Ctr Environm Studies, Izmir, Turkey; [Hakeem, Khalid Rehman] KAU, Dept Biol Sci, Fac Sci, Jeddah, Saudi Arabia; [Yousaf, Balal] Univ Sci &amp; Technol China, Sch Earth &amp; Space Sci, CAS Key Lab Crust Mantle Mat &amp; Environm, Hefei 230026, Peoples R China; [Yousaf, Balal] Middle East Tech Univ, Environm Engn Dept, TR-06800 Ankara, Turkey</t>
  </si>
  <si>
    <t>Sher-e-Kashmir University of Agricultural Sciences &amp; Technology of Kashmir (SKUAST Kashmir); Sher-e-Kashmir University of Agricultural Sciences &amp; Technology of Kashmir (SKUAST Kashmir); Nigde Omer Halisdemir University; Ege University; Ege University; King Abdulaziz University; Chinese Academy of Sciences; University of Science &amp; Technology of China, CAS; Middle East Technical University</t>
  </si>
  <si>
    <t>Bhat, RA (corresponding author), Sher E Kashmir Univ Agr Sci &amp; Technol, Div Environm Sci, Kashmir, India.;Yousaf, B (corresponding author), Univ Sci &amp; Technol China, Sch Earth &amp; Space Sci, CAS Key Lab Crust Mantle Mat &amp; Environm, Hefei 230026, Peoples R China.</t>
  </si>
  <si>
    <t>rufi.bhat@gmail.com; balal@ustc.edu.cn</t>
  </si>
  <si>
    <t>Qadri, Humaira/GXF-6549-2022; Bhat, Shakeel/AAI-9957-2021; Yousaf, Balal/M-7567-2015; Bhat, Rouf Ahmad/AFO-4271-2022; Hakeem, Khalid Rehman/D-4335-2013</t>
  </si>
  <si>
    <t>Bhat, Shakeel/0000-0002-0238-4509; Yousaf, Balal/0000-0003-2732-2176; Bhat, Rouf Ahmad/0000-0002-0355-0062; Hakeem, Khalid Rehman/0000-0001-7824-4695; Dar, Gowhar Hamid/0000-0003-1446-8651; Singh, Dig Vijay/0000-0002-6348-5434; DERVASH, MOONISA ASLAM/0000-0002-9348-4803</t>
  </si>
  <si>
    <t>2232 International Fellowship for Outstanding Researchers Program of TuBITAK [2232, 118C212]; TuBITAK</t>
  </si>
  <si>
    <t>2232 International Fellowship for Outstanding Researchers Program of TuBITAK(Turkiye Bilimsel ve Teknolojik Arastirma Kurumu (TUBITAK)); TuBITAK(Turkiye Bilimsel ve Teknolojik Arastirma Kurumu (TUBITAK))</t>
  </si>
  <si>
    <t>This publication/paper has been produced benefiting from the 2232 International Fellowship for Outstanding Researchers Program of TuBITAK (Project No: 118C212) . However, the entire responsibility of the publication/paper belongs to the owner of the publication/paper. The financial support received from TuBITAK does not mean that the content of the publication is approved in a scientific sense by TuBITAK.</t>
  </si>
  <si>
    <t>WD4ZJ</t>
  </si>
  <si>
    <t>WOS:000704950400003</t>
  </si>
  <si>
    <t>Multispectroscopic Characterization of Surface Interaction between Antibiotics and Micro(nano)-sized Plastics from Surgical Masks and Plastic Bottles</t>
  </si>
  <si>
    <t>Recent studies have shown that plastic particles can sorb antibiotics, and these sorption properties have been examined in various studies; however, the possible mechanism responsible for the interactions requires a deeper investigation in terms of further interaction with living systems. Moreover, the usage of disposable surgical masks and plastic bottles has increased the plastic pollution risk for living systems like humans. Therefore, this study aimed to examine the sorption characteristics between antibiotics (amoxicillin and spiramycin) and plastic particles from surgical masks and plastic bottles through batch sorption experiments. In the study, their surface interactions were characterized using multispectroscopic approaches including FTIR, Raman spectrometry, and SEM-EDX, and various surface indicators (e.g., surface oxidation, deformation, and biological potential) were examined. The sorption results showed that adsorption kinetics and the isotherm of amoxicillin and spiramycin on micro(nano)plastics from surgical masks and plastic bottles closely fit the pseudo-second-order kinetic model and Langmiur isotherm. These results indicated that the evidence for the antibiotic interaction with particles was changes in the surface functional group intensities and up-shifting, and this correlated with the sorption of antibiotics on micro(nano)-sized plastics. The C/N ratio of the plastic particles before and after antibiotic treatment was used as an indicator for the surface biological interaction, and the results showed that C/N ratios of surgical mask particles increased with both types of antibiotic sorption. However, the C/N of the particles from plastic bottles showed antibiotic type-dependence. The surface deformation indicators (e.g., O/C, C=O, C=C, and O-H indices) showed that the O/C ratios of micro(nano)plastics from surgical masks were higher with the amoxicillin and spiramycin sorption, and the C=O indices were positively linked with the amoxicillin sorption stages, whereas the C=C and O-H had a negative correlation with the amoxicillin sorption stages. Moreover, amoxicillin sorption influenced the O/C ratio and indices of O-H and C=C of micro(nano)plastics from plastic bottles in a limited manner. The C=O groups of the micro(nano)plastics from plastic bottles were positively influenced by the spiramycin sorption stages, whereas it was negatively linked with amoxicillin sorption stages. Overall, the findings from surface indicators indicated that the micro(nano)plastics from surgical masks can be more influenced with antibiotic sorption compared to plastic bottles.</t>
  </si>
  <si>
    <t>10.1021/acsomega.2c07927</t>
  </si>
  <si>
    <t>ACS OMEGA</t>
  </si>
  <si>
    <t>PARTICLES; MICROPLASTICS; DEGRADATION; RELEASE; METAL</t>
  </si>
  <si>
    <t>[Baysal, Asli] Istanbul Tech Univ, Sci &amp; Letters Fac, Chem Dept, TR-34467 Istanbul, Turkiye; [Saygin, Hasan] Istanbul Aydin Univ, Applicat &amp; Res Ctr Adv Studies, TR-34295 Istanbul, Turkiye</t>
  </si>
  <si>
    <t>Istanbul Technical University; Istanbul Aydin University</t>
  </si>
  <si>
    <t>Baysal, A (corresponding author), Istanbul Tech Univ, Sci &amp; Letters Fac, Chem Dept, TR-34467 Istanbul, Turkiye.</t>
  </si>
  <si>
    <t>asli.baysal@itu.edu.tr</t>
  </si>
  <si>
    <t>BAYSAL, ASLI/0000-0002-0178-7808</t>
  </si>
  <si>
    <t>Scientific Research Projects Department of Istanbul Technical University (ITU ) [TAB-2022-44065]</t>
  </si>
  <si>
    <t>Scientific Research Projects Department of Istanbul Technical University (ITU )</t>
  </si>
  <si>
    <t>This work was supported by Scientific Research Projects Department of Istanbul Technical University (ITU Project no: TAB-2022-44065) .</t>
  </si>
  <si>
    <t>2470-1343</t>
  </si>
  <si>
    <t>ACS Omega</t>
  </si>
  <si>
    <t>APR 11</t>
  </si>
  <si>
    <t>Chemistry, Multidisciplinary</t>
  </si>
  <si>
    <t>D4ET5</t>
  </si>
  <si>
    <t>WOS:000962892900001</t>
  </si>
  <si>
    <t>Ballistic Impact Behaviour of a Tempered Bainitic Steel Against 7.62 mm Armour Piercing Projectile</t>
  </si>
  <si>
    <t>In this study, occurence of failure after the interaction between an armour piercing 7.62 mm caliber projectile and a tempered bainitic steel has been investigated. The shot was performed at zero degree with a projectile velocity of 840 m/s. After the shot, microstructural and fractographical examinations were carried out on the sample taken from the perforated region. In the etched sample, it was observed that the morphology of the original microstructure had changed and adiabatic shear bands (ASBs) were formed in regions close to the direction of penetration. Main failure is ductile (plastic) deformation was followed by cleavage after shot. Cracks due to adiabatic shear band and formation of abrasive wear were seen. The perforation mode of the steel was a typical petalling.</t>
  </si>
  <si>
    <t>10.14429/dsj.61.411</t>
  </si>
  <si>
    <t>Atapek, SH; Karagoz, S</t>
  </si>
  <si>
    <t>Atapek, S. Hakan; Karagoz, Sadi</t>
  </si>
  <si>
    <t>DEFENCE SCIENCE JOURNAL</t>
  </si>
  <si>
    <t>Armour steels; microstructure; ballistic; perforation mode; impact behaviour; armour piercing projectile; tempered bainitic steel</t>
  </si>
  <si>
    <t>SLIDING WEAR BEHAVIOR; HIGH-STRENGTH; COMPOSITE ARMOR; PERFORMANCE; MICROSTRUCTURE; PENETRATION; VELOCITY; HARDNESS; DESIGN; PLATE</t>
  </si>
  <si>
    <t>[Atapek, S. Hakan] Kocaeli Univ, TR-41380 Kocaeli, Turkey; [Karagoz, Sadi] Marmara Univ, TR-34722 Istanbul, Turkey</t>
  </si>
  <si>
    <t>Kocaeli University; Marmara University</t>
  </si>
  <si>
    <t>Atapek, SH (corresponding author), Kocaeli Univ, TR-41380 Kocaeli, Turkey.</t>
  </si>
  <si>
    <t>hatapek@kocaeli.edu.tr; karagoez@marmara.edu.tr</t>
  </si>
  <si>
    <t>DEFENCE SCIENTIFIC INFORMATION DOCUMENTATION CENTRE</t>
  </si>
  <si>
    <t>DELHI</t>
  </si>
  <si>
    <t>METCALFE HOUSE, DELHI 110054, INDIA</t>
  </si>
  <si>
    <t>0011-748X</t>
  </si>
  <si>
    <t>DEFENCE SCI J</t>
  </si>
  <si>
    <t>Def. Sci. J.</t>
  </si>
  <si>
    <t>724CT</t>
  </si>
  <si>
    <t>WOS:000287554400012</t>
  </si>
  <si>
    <t>Raising awareness about marine litter through beach cleanup activities along the Turkish coasts of the Black Sea</t>
  </si>
  <si>
    <t>Beach cleanup activities were organized by Turkish Marine Research Foundation (TUDAV) and cooperating organizations on four beaches along the Turkish coast of the Black Sea. A total of 1161 kg of litter was collected with the majority consisting of plastics (425 kg). Three beaches near the Istanbul Strait had mostly plastic waste, likely frommajor urban sources as well as sea-based sources deposited by wave action. Beach cleanups are highly effective in raising awareness among local people, but clean coasts and clean seas, free from plastic waste, are only possible via international cooperation.</t>
  </si>
  <si>
    <t>Gulenc, Z; Konakli, D; Ozturk, ID</t>
  </si>
  <si>
    <t>Gulenc, Zeynep; Konakli, Deniz; Ozturk, Ilayda Destan</t>
  </si>
  <si>
    <t>Beach cleanup; plastic pollution; Black Sea; raising awareness</t>
  </si>
  <si>
    <t>[Gulenc, Zeynep; Konakli, Deniz; Ozturk, Ilayda Destan] Turkish Marine Res Fdn TUDAV, POB 10, TR-34820 Istanbul, Turkey; [Ozturk, Ilayda Destan] Istanbul Univ, Inst Marine Sci &amp; Management, Dept Phys Oceanog &amp; Marine Biol, Istanbul, Turkey</t>
  </si>
  <si>
    <t>Turkish Marine Research Foundation; Istanbul University</t>
  </si>
  <si>
    <t>Gulenc, Z (corresponding author), Turkish Marine Res Fdn TUDAV, POB 10, TR-34820 Istanbul, Turkey.</t>
  </si>
  <si>
    <t>tudav@tudav.org</t>
  </si>
  <si>
    <t>WOS:000637180200008</t>
  </si>
  <si>
    <t>Geo-environmental solution of plastic solid waste management using stabilization process</t>
  </si>
  <si>
    <t>Plastic pollution is one of the most pressing environmental concerns today. Plastic wastes are usually left unattended and as they resist biodegradation, they pile up in the soil and in the sea environments. Therefore, their recovery and reuse in different applications should be recognized as the best remedial action. This study presents a tangible example of plastic reuse, where a sustainable method is proposed and tested by altering the plastic waste into useful material for soil stabilization. For this purpose, collected waste plastic bags were shredded into strips and they were mixed with clayey soil by 0.2, 0.3, and 0.4% of weight. The effect of adding plastic strips into soil on the mechanical properties of the mixture was then monitored through an experimental survey. Results depicted a meaningful increase in the California bearing ratio (CBR) and unconfined compressive strength (UCS) with increased percentage of plastic strips from 0 to 0.4%. The maximum dry density (MDD) was observed at 0.2% of plastic additions. It was concluded that mixing certain amounts of plastic bag strips to the clay samples could improve the geotechnical properties to a level where the mixture could be used as a subgrade layer while providing a useful reuse option that would potentially reduce plastic piling in the environment.</t>
  </si>
  <si>
    <t>10.1007/s12665-021-09429-5</t>
  </si>
  <si>
    <t>Iravanian, A; Ahmed, IUD</t>
  </si>
  <si>
    <t>Iravanian, Anoosheh; Ahmed, Imad Ud Din</t>
  </si>
  <si>
    <t>ENVIRONMENTAL EARTH SCIENCES</t>
  </si>
  <si>
    <t>Waste polyethylene bags; Soil stabilization; Waste reduction; Plastic recovery and reuse</t>
  </si>
  <si>
    <t>[Iravanian, Anoosheh; Ahmed, Imad Ud Din] Near East Univ, Civil &amp; Environm Engn Fac, Near East Blvd, TR-99138 Nicosia, North Cyprus, Turkey</t>
  </si>
  <si>
    <t>Near East University</t>
  </si>
  <si>
    <t>Iravanian, A (corresponding author), Near East Univ, Civil &amp; Environm Engn Fac, Near East Blvd, TR-99138 Nicosia, North Cyprus, Turkey.</t>
  </si>
  <si>
    <t>anoosheh.iravanian@neu.edu.tr</t>
  </si>
  <si>
    <t>iravanian, anoosheh/0000-0003-2339-6346</t>
  </si>
  <si>
    <t>1866-6280</t>
  </si>
  <si>
    <t>1866-6299</t>
  </si>
  <si>
    <t>ENVIRON EARTH SCI</t>
  </si>
  <si>
    <t>Environ. Earth Sci.</t>
  </si>
  <si>
    <t>FEB 2</t>
  </si>
  <si>
    <t>Environmental Sciences; Geosciences, Multidisciplinary; Water Resources</t>
  </si>
  <si>
    <t>Environmental Sciences &amp; Ecology; Geology; Water Resources</t>
  </si>
  <si>
    <t>QF2GN</t>
  </si>
  <si>
    <t>WOS:000616717700005</t>
  </si>
  <si>
    <t>Effect of surface treated industrial waste plastics on the mechanical properties of cement composite</t>
  </si>
  <si>
    <t>This study aims to investigate the feasibility of using industrial waste plastics, polypropylene (PP), polyethylene (PE) and poly-amide (PA), obtained from recycling factory, as reinforcement for mortar. As one of the main problems of using waste plastics in cementitious composites is the hydrophobic properties of the surface of the plastics, because it prevents the formation of adequate interfacial adhesion with cement paste. Surface treatment of waste plastics was applied using diluted solution of isopropanol. Three parameters were considered when designing the mortar mixtures; type of waste plastic (PP, PE, PA), their addition ratio and surface treatment. Bending and compression tests were conducted. 1.5% volume addition of PP and PE to mortars the flexural strength was increased, however, surface treatment of waste plastics did not affected this strength. As the waste plastic volume ratio increased, the flexural toughness of mortars reinforced with PP, PE and PA plastics was also increased. For the 1.5% volume ratio, there was the increase of flexural toughness with respect to the reference mortar and the highest influence had the PP. For the untreated waste plastics, there was significant increase in flexural toughness, while reduction in the compressive strength and compressive toughness was found, however, this surface treatment enhanced the compressive strength and compressive toughness with respect to untreated plastics. Waste plastics can be used for mortars and concretes reinforcement to improve the ductility and energy absorption capacity while eliminating pollution and regaining them in the economy as a structural material.</t>
  </si>
  <si>
    <t>Ghilan, DMA; Teomete, E</t>
  </si>
  <si>
    <t>Ghilan, Dheya M. A.; Teomete, Egemen</t>
  </si>
  <si>
    <t>CEMENT WAPNO BETON</t>
  </si>
  <si>
    <t>industrial waste plastic; mechanical properties; cement composite; surface treatment</t>
  </si>
  <si>
    <t>ASPHALT MIXTURES; CONCRETE; PERFORMANCE; FIBERS; PET; FATIGUE; RESISTANCE; AGGREGATE; STRENGTH</t>
  </si>
  <si>
    <t>[Ghilan, Dheya M. A.] Dokuz Eylul Univ, Grad Sch Nat &amp; Appl Sci, Izmir, Turkey; [Teomete, Egemen] Dokuz Eylul Univ, Civil Engn Dept, Izmir, Turkey</t>
  </si>
  <si>
    <t>Dokuz Eylul University; Dokuz Eylul University</t>
  </si>
  <si>
    <t>Teomete, E (corresponding author), Dokuz Eylul Univ, Civil Engn Dept, Izmir, Turkey.</t>
  </si>
  <si>
    <t>egemen.teomete@deu.edu.tr</t>
  </si>
  <si>
    <t>Teomete, Egemen/Q-2285-2019</t>
  </si>
  <si>
    <t>Teomete, Egemen/0000-0002-7330-7367</t>
  </si>
  <si>
    <t>Batigim Bati Anadolu cimento Sanayi A.S.; Sika Construction Chemicals Co.</t>
  </si>
  <si>
    <t>We would like to thank to Narsan Plastic Co. for supplying the waste plastics. The authors would like to express their gratitude to Batigim Bati Anadolu cimento Sanayi A.S. and Sika Construction Chemicals Co. for supporting this research with materials. On behalf of all authors, the corresponding author states that there is no conflict of interest.</t>
  </si>
  <si>
    <t>STOWARZYSZENIE PRODUCENTOW CEMENTU</t>
  </si>
  <si>
    <t>KRAKOW</t>
  </si>
  <si>
    <t>UL LUBELSKA 29 LOK 4-5, KRAKOW, 30-003, POLAND</t>
  </si>
  <si>
    <t>1425-8129</t>
  </si>
  <si>
    <t>CEM WAPNO BETON</t>
  </si>
  <si>
    <t>Cem. Wapno Beton</t>
  </si>
  <si>
    <t>JAN-FEB</t>
  </si>
  <si>
    <t>+</t>
  </si>
  <si>
    <t>Construction &amp; Building Technology; Materials Science, Composites</t>
  </si>
  <si>
    <t>Construction &amp; Building Technology; Materials Science</t>
  </si>
  <si>
    <t>HM9ZR</t>
  </si>
  <si>
    <t>WOS:000459844000003</t>
  </si>
  <si>
    <t>Enhancement of biodegradability of disposable polyethylene in controlled biological soil</t>
  </si>
  <si>
    <t>Plastics as polyethylene are widely used in packaging and other agricultural applications. They accumulate in the environment at a rate of 25 million tons per year. Thus, the development and use of degradable plastics was proposed as a solution for plastic waste problem. Because of the ever-increasing use of plastic films, nowadays, biodegradability has become a useful characteristic for plastics. Conversely, the introduction of biodegradable plastics has generated a need for methods to evaluate the biodegradation of these polymers in landfills and solid waste treatment systems such as composting or anaerobic digestion treatment plants. The purpose of this study was to investigate the biodegradation of disposable low-density polyethylene bags containing starch (12%), autoxidizable fatty acid ester and catalytic agents in soil. Structurally this work intended to evaluate the capacity of Phanerochaete chrysosporium (ATCC 34541) to enhance polyethylene film biodegradation in soil microcosms. Soil samples inoculated with P. chrysosporium were mixed with LDPE/starch blend films and biological changes of the films and soil were monitored for 6 months. The biodegradation of polyethylene starch blend film has been determined by the physical, chemical and biological properties of the samples such as pH, biomass, CO2 formation, percentage elongation, relative viscosity and FTIR spectrum. (C) 2000 Elsevier Science Ltd. All rights reserved.</t>
  </si>
  <si>
    <t>10.1016/S0964-8305(00)00048-2</t>
  </si>
  <si>
    <t>Orhan, Y; Buyukgungor, H</t>
  </si>
  <si>
    <t>INTERNATIONAL BIODETERIORATION &amp; BIODEGRADATION</t>
  </si>
  <si>
    <t>PHANEROCHAETE-CHRYSOSPORIUM; DEGRADATION; LIGNINASE</t>
  </si>
  <si>
    <t>Ondokuz Mayis Univ, Dept Environm Engn, TR-55139 Kurupelit, Turkey</t>
  </si>
  <si>
    <t>Ondokuz Mayis University</t>
  </si>
  <si>
    <t>Orhan, Y (corresponding author), Ondokuz Mayis Univ, Dept Environm Engn, TR-55139 Kurupelit, Turkey.</t>
  </si>
  <si>
    <t>0964-8305</t>
  </si>
  <si>
    <t>1879-0208</t>
  </si>
  <si>
    <t>INT BIODETER BIODEGR</t>
  </si>
  <si>
    <t>Int. Biodeterior. Biodegrad.</t>
  </si>
  <si>
    <t>JAN-MAR</t>
  </si>
  <si>
    <t>Biotechnology &amp; Applied Microbiology; Environmental Sciences</t>
  </si>
  <si>
    <t>Biotechnology &amp; Applied Microbiology; Environmental Sciences &amp; Ecology</t>
  </si>
  <si>
    <t>345ZR</t>
  </si>
  <si>
    <t>WOS:000088846000006</t>
  </si>
  <si>
    <t>MARINE LITTER POLLUTION IN THE BLACK SEA: ASSESSMENT OF THE CURRENT SITUATION IN LIGHT OF THE MARINE STRATEGY FRAMEWORK DIRECTIVE</t>
  </si>
  <si>
    <t>Bat, L; Oztekin, A; Arici, E</t>
  </si>
  <si>
    <t>Bat, Levent; Oztekin, Aysah; Arici, Elif</t>
  </si>
  <si>
    <t>BLACK SEA MARINE ENVIRONMENT: THE TURKISH SHELF</t>
  </si>
  <si>
    <t>PLASTIC DEBRIS; MICROPLASTICS; ENVIRONMENT; INGESTION; STOMACH; COAST</t>
  </si>
  <si>
    <t>[Bat, Levent; Oztekin, Aysah; Arici, Elif] Sinop Univ, Fac Fisheries, Dept Hydrobiol, Sinop, Turkey</t>
  </si>
  <si>
    <t>Bat, L (corresponding author), Sinop Univ, Fac Fisheries, Dept Hydrobiol, Sinop, Turkey.</t>
  </si>
  <si>
    <t>leventbat@gmail.com; aysahvisne@gmail.com; elfkarakas@gmail.com</t>
  </si>
  <si>
    <t>978-975-8825-38-7</t>
  </si>
  <si>
    <t>Biodiversity Conservation; Environmental Sciences; Oceanography</t>
  </si>
  <si>
    <t>Biodiversity &amp; Conservation; Environmental Sciences &amp; Ecology; Oceanography</t>
  </si>
  <si>
    <t>BP9IK</t>
  </si>
  <si>
    <t>WOS:000569505900026</t>
  </si>
  <si>
    <t>A Comprehensive 3D Analysis of Polymer Flow through a Conical Spiral Extrusion Die</t>
  </si>
  <si>
    <t>Several restrictions which are related to extruder machinery and nature of process material exist in the design of plastic extrusion dies. To this respect, it is very important to consider design criteria and limitations in order to operate extrusion dies at desired production rate and temperature. In the current study, flow field characteristics through a conical spiral mandrel die are analysed in detail by 3D Computational Fluid Dynamics (CFD) simulations. The effects of operating conditions such as production rate and temperature on pressure drop through the spiral mandrel die and the occurence of melt fracture are investigated. The temperature dependent viscosity versus shear rate data for grade QB79P (CarmelTech) polypropylene (PP) melt under study are measured by use of rotational and capillary rheometers. Stress terms in the momentum equations are modeled by Generalized Newtonian Fluid (GNF) Model. For this, Bird-Carreau Model is employed as the viscosity model for the polymer melt. 3D CFD analyses provide comprehensive data and understanding with regard to flow behaviour through complex extrusion dies.</t>
  </si>
  <si>
    <t>10.1007/s12221-014-0084-4</t>
  </si>
  <si>
    <t>Yilmaz, O; Kisasoz, E; Guner, FS; Nart, C; Kirkkopru, K</t>
  </si>
  <si>
    <t>Yilmaz, Oktay; Kisasoz, Emre; Guner, F. Seniha; Nart, Cagri; Kirkkopru, Kadir</t>
  </si>
  <si>
    <t>FIBERS AND POLYMERS</t>
  </si>
  <si>
    <t>Conical spiral mandrel die; Polymer extrusion; CFD; Generalized newtonian fluid model</t>
  </si>
  <si>
    <t>COAT-HANGER DIE; GEOMETRY DESIGN; RESIDENCE TIME; MANDREL DIES</t>
  </si>
  <si>
    <t>[Yilmaz, Oktay; Nart, Cagri; Kirkkopru, Kadir] Istanbul Tech Univ, Dept Mech Engn, Fac Mech Engn, TR-34437 Istanbul, Turkey; [Kisasoz, Emre; Guner, F. Seniha] Istanbul Tech Univ, Fac Chem &amp; Met Engn, Dept Chem Engn, TR-34469 Istanbul, Turkey</t>
  </si>
  <si>
    <t>Istanbul Technical University; Istanbul Technical University</t>
  </si>
  <si>
    <t>Yilmaz, O (corresponding author), Istanbul Tech Univ, Dept Mech Engn, Fac Mech Engn, TR-34437 Istanbul, Turkey.</t>
  </si>
  <si>
    <t>yilmazo@itu.edu.tr</t>
  </si>
  <si>
    <t>Yilmaz, Yilmaz/AAZ-5371-2020; Güner, F. Seniha/ABF-7949-2020; Kirkkopru, Kadir/ABC-8323-2020</t>
  </si>
  <si>
    <t>Yilmaz, Yilmaz/0000-0002-3260-2992; Güner, F. Seniha/0000-0002-3414-4868; Kirkkopru, Kadir/0000-0002-1663-9736</t>
  </si>
  <si>
    <t>Ministry of Science, Industry and Technology of the Turkish Republic; Mir RD Ltd. Co. [00309.STZ.2008-2]</t>
  </si>
  <si>
    <t>Ministry of Science, Industry and Technology of the Turkish Republic(Ministry of Science, Industry &amp; Technology - Turkey); Mir RD Ltd. Co.</t>
  </si>
  <si>
    <t>We gratefully acknowledge the financial support of Ministry of Science, Industry and Technology of the Turkish Republic and Mir R&amp;D Ltd. Co., through grant number: 00309.STZ.2008-2.</t>
  </si>
  <si>
    <t>KOREAN FIBER SOC</t>
  </si>
  <si>
    <t>SEOUL</t>
  </si>
  <si>
    <t>KOREA SCIENCE TECHNOLOGY CTR #501 635-4 YEOGSAM-DONG, KANGNAM-GU, SEOUL 135-703, SOUTH KOREA</t>
  </si>
  <si>
    <t>1229-9197</t>
  </si>
  <si>
    <t>1875-0052</t>
  </si>
  <si>
    <t>FIBER POLYM</t>
  </si>
  <si>
    <t>Fiber. Polym.</t>
  </si>
  <si>
    <t>Materials Science, Textiles; Polymer Science</t>
  </si>
  <si>
    <t>Materials Science; Polymer Science</t>
  </si>
  <si>
    <t>296QH</t>
  </si>
  <si>
    <t>WOS:000330200000013</t>
  </si>
  <si>
    <t>A Cloud-Based Framework for Large-Scale Monitoring of Ocean Plastics Using Multi-Spectral Satellite Imagery and Generative Adversarial Network</t>
  </si>
  <si>
    <t>Marine debris is considered a threat to the inhabitants, as well as the marine environments. Accumulation of marine debris, besides climate change factors, including warming water, sea-level rise, and changes in oceans' chemistry, are causing the potential collapse of the marine environment's health. Due to the increase of marine debris, including plastics in coastlines, ocean and sea surfaces, and even in deep ocean layers, there is a need for developing new advanced technology for the detection of large-sized marine pollution (with sizes larger than 1 m) using state-of-the-art remote sensing and machine learning tools. Therefore, we developed a cloud-based framework for large-scale marine pollution detection with the integration of Sentinel-2 satellite imagery and advanced machine learning tools on the Sentinel Hub cloud application programming interface (API). Moreover, we evaluated the performance of two shallow machine learning algorithms of random forest (RF) and support vector machine (SVM), as well as the deep learning method of the generative adversarial network-random forest (GAN-RF) for the detection of ocean plastics in the pilot site of Mytilene Island, Greece. Based on the obtained results, the shallow algorithms of RF and SVM achieved an overall accuracy of 88% and 84%, respectively, with available training data of plastic debris. The GAN-RF classifier improved the detection of ocean plastics of the RF method by 8%, achieving an overall accuracy of 96% by generating several synthetic ocean plastic samples.</t>
  </si>
  <si>
    <t>10.3390/w13182553</t>
  </si>
  <si>
    <t>Jamali, A; Mahdianpari, M</t>
  </si>
  <si>
    <t>Jamali, Ali; Mahdianpari, Masoud</t>
  </si>
  <si>
    <t>ocean plastics; support vector machine; random forest; marine debris; marine pollution; Sentinel Hub; generative adversarial network</t>
  </si>
  <si>
    <t>MARINE DEBRIS; RANDOM FOREST; SEA-FLOOR; POLLUTION; CLASSIFICATION; ENVIRONMENT; BEACHES; LITTER; GULF</t>
  </si>
  <si>
    <t>[Jamali, Ali] Univ Karabuk, Fac Engn, Civil Engn Dept, TR-78050 Karabuk, Turkey; [Mahdianpari, Masoud] Mem Univ Newfoundland, Dept Elect &amp; Comp Engn, St John, NF A1B 3X5, Canada</t>
  </si>
  <si>
    <t>Karabuk University; Memorial University Newfoundland</t>
  </si>
  <si>
    <t>Mahdianpari, M (corresponding author), Mem Univ Newfoundland, Dept Elect &amp; Comp Engn, St John, NF A1B 3X5, Canada.</t>
  </si>
  <si>
    <t>alijamali@karabuk.edu.tr; m.mahdianpari@mun.ca</t>
  </si>
  <si>
    <t>Jamali, Ali/Q-5802-2019</t>
  </si>
  <si>
    <t>Jamali, Ali/0000-0002-6073-5493; Mahdianpari, Masoud/0000-0002-7234-959X</t>
  </si>
  <si>
    <t>UX0GD</t>
  </si>
  <si>
    <t>WOS:000700526600001</t>
  </si>
  <si>
    <t>EXPERIMENTAL STUDY ON PLASTIC WASTE APPLICATION FOR SOIL STABILIZATION</t>
  </si>
  <si>
    <t>The rapid population growth in the world causes an increase in the amount of consumption and correspondingly brings up environmental problems to the agenda. Plastics, which are the most used and known as waste today, come to the forefront of the factors that trigger environmental problems. Although the control of plastic wastes cannot be ensured, they accumulate in nature. The reuse of these wastes is very important in terms of both economic and environmental concerns. Therefore, the recovery and reuse of waste are accepted as the best action in terms of practice. In the case that the engineering properties of the soils are insufficient, these properties can be increased by reinforcing the soils. In this study, the strength and deformation behaviors of the soil that were suitable for the subgrade layer were investigated by including different amounts of plastic waste in the soil to provide the reuse of plastic waste, which has become an environmental problem. In this context, engineering experiments were carried out by adding Low-density polyethylene (LPDE) plastic strips with dimensions of 15x15 and 15x30 mm, ratios of 0%, 0.3%, 0.5%, and 0.7%, respectively, into the soil. As a result of the tests carried out, it can be concluded that the effect of plastic reinforcement on the soil mass depends on the plastic content and the type of soil used for the study. The CBR value took its maximum value in the sample with plastic content of 0.7%, but the maximum dry density value was obtained when the plastic content was 0.5%. Therefore, in this study, it is recommended to use 0.5% of the plastic content, which is considered an additive, rather than 0.7%, in order not to lose the maximum dry density. Considering the climatic conditions, the wet CBR test with a curing time of 7 days was performed and the results of the wet CBR test were lower than the results of the dry CBR test. However, it was within the required value range for the design.</t>
  </si>
  <si>
    <t>10.30638/eemj.2022.131</t>
  </si>
  <si>
    <t>Erdag, A; Kardogan, PSO</t>
  </si>
  <si>
    <t>Erdag, Ahmet; Kardogan, Pinar Sezin Ozturk</t>
  </si>
  <si>
    <t>ENVIRONMENTAL ENGINEERING AND MANAGEMENT JOURNAL</t>
  </si>
  <si>
    <t>environmental-friendly soil stabilizer; environmental pollution; plastic wastes; soil stabilization</t>
  </si>
  <si>
    <t>GEOTECHNICAL PROPERTIES</t>
  </si>
  <si>
    <t>[Erdag, Ahmet; Kardogan, Pinar Sezin Ozturk] Gazi Univ, Fac Technol, Dept Civil Engn, Ankara, Turkey</t>
  </si>
  <si>
    <t>Gazi University</t>
  </si>
  <si>
    <t>Erdag, A (corresponding author), Gazi Univ, Fac Technol, Dept Civil Engn, Ankara, Turkey.</t>
  </si>
  <si>
    <t>ahmeterdag@gazi.edu.tr</t>
  </si>
  <si>
    <t>GH ASACHI TECHNICAL UNIV IASI</t>
  </si>
  <si>
    <t>IASI</t>
  </si>
  <si>
    <t>71 MANGERON BLVD, IASI, 700050, ROMANIA</t>
  </si>
  <si>
    <t>1582-9596</t>
  </si>
  <si>
    <t>1843-3707</t>
  </si>
  <si>
    <t>ENVIRON ENG MANAG J</t>
  </si>
  <si>
    <t>Environ. Eng. Manag. J.</t>
  </si>
  <si>
    <t>8O3BS</t>
  </si>
  <si>
    <t>WOS:000925713600004</t>
  </si>
  <si>
    <t>Why Turkey should not import plastic waste pollution from developed countries?</t>
  </si>
  <si>
    <t>Turkey became a major importer of global plastic waste after China banned plastic imports on January 1, 2018. Turkey imported only 261,864 tonnes of plastic waste annually before the ban, but annual imports increased to 772,831 tonnes by 2020. Turkey recently implemented restrictions on importing plastic waste (quotas, %1 contamination limit, banned mixed plastic waste imports), yet illegal dumping and burning is widely reported. Turkey ranks second in Europe and seventh worldwide for plastics production, yet current domestic waste management and recycling programs cannot handle domestic plastic waste generation. Roughly 90% of municipal solid waste produced in Turkey ends up in landfills. Plastic waste mismanagement results in plastic leakage into the Mediterranean Sea with Turkey contributing the highest share (16.8%) of European marine plastic pollution. With this latest import restriction, Turkey now has an opportunity to strengthen and improve its own domestic waste management infrastructure to reduce indiscriminate plastic marine pollution.</t>
  </si>
  <si>
    <t>10.1016/j.marpolbul.2021.112772</t>
  </si>
  <si>
    <t>Gundogdu, S; Walker, TR</t>
  </si>
  <si>
    <t>Gundogdu, Sedat; Walker, Tony R.</t>
  </si>
  <si>
    <t>Global plastic waste trade; Plastic waste recycling; Plastic marine pollution; Turkey; Import stop</t>
  </si>
  <si>
    <t>[Gundogdu, Sedat] Cukurova Univ, Fac Fisheries, Dept Basic Sci, TR-01330 Adana, Turkey; [Walker, Tony R.] Dalhousie Univ, Sch Resource &amp; Environm Studies, Halifax, NS B3H 4R2, Canada</t>
  </si>
  <si>
    <t>Cukurova University; Dalhousie University</t>
  </si>
  <si>
    <t>Gündoğdu, Sedat/0000-0002-4415-2837; Walker, Tony/0000-0001-9008-0697</t>
  </si>
  <si>
    <t>UY7GM</t>
  </si>
  <si>
    <t>WOS:000701687700006</t>
  </si>
  <si>
    <t>Can Pyrolysis Oil Be Used as a Feedstock to Close the Gap in the Circular Economy of Polyolefins?</t>
  </si>
  <si>
    <t>Plastics are engineering marvels that have found widespread use in all aspects of modern life. However, poor waste management practices and inefficient recycling technologies, along with their extremely high durability, have caused one of the major environmental problems facing humankind: waste plastic pollution. The upcycling of waste plastics to chemical feedstock to produce virgin plastics has emerged as a viable option to mitigate the adverse effects of plastic pollution and close the gap in the circular economy of plastics. Pyrolysis is considered a chemical recycling technology to upcycle waste plastics. Yet, whether pyrolysis as a stand-alone technology can achieve true circularity or not requires further investigation. In this study, we analyzed and critically evaluated whether oil obtained from the non-catalytic pyrolysis of virgin polypropylene (PP) can be used as a feedstock for naphtha crackers to produce olefins, and subsequently polyolefins, without undermining the circular economy and resource efficiency. Two different pyrolysis oils were obtained from a pyrolysis plant and compared with light and heavy naphtha by a combination of physical and chromatographic methods, in accordance with established standards. The results demonstrate that pyrolysis oil consists of mostly cyclic olefins with a bromine number of 85 to 304, whereas light naphtha consists of mostly paraffinic hydrocarbons with a very low olefinic content and a bromine number around 1. Owing to the compositional differences, pyrolysis oil studied herein is completely different than naphtha in terms of hydrocarbon composition and cannot be used as a feedstock for commercial naphtha crackers to produce olefins. The findings are of particular importance to evaluating different chemical recycling opportunities with respect to true circularity and may serve as a benchmark to determine whether liquids obtained from different polyolefin recycling technologies are compatible with existing industrial steam crackers' feedstock.</t>
  </si>
  <si>
    <t>10.3390/polym15040859</t>
  </si>
  <si>
    <t>Erkmen, B; Ozdogan, A; Ezdesir, A; Celik, G</t>
  </si>
  <si>
    <t>Erkmen, Berrak; Ozdogan, Adem; Ezdesir, Ayhan; Celik, Gokhan</t>
  </si>
  <si>
    <t>pyrolysis; pyrolysis oil; naphtha; waste plastic; chemical recycling; polyolefins; bromine number; PIONA; circular economy</t>
  </si>
  <si>
    <t>STEAM-CRACKING; CATALYTIC PYROLYSIS; RELATIVE RATES; COKE FORMATION; PLASTICS; NAPHTHA; WASTE; HYDROCARBONS</t>
  </si>
  <si>
    <t>[Erkmen, Berrak; Ezdesir, Ayhan] SOCAR Turkey, SOCAR Turkey R&amp;D &amp; Innovat Inc, TR-35800 Izmir, Turkiye; [Ozdogan, Adem] SOCAR Turkey, Refinery &amp; Petrochem Business Unit, TR-35800 Izmir, Turkiye; [Celik, Gokhan] Middle East Tech Univ, Chem Engn Dept, TR-06800 Ankara, Turkiye</t>
  </si>
  <si>
    <t>Celik, G (corresponding author), Middle East Tech Univ, Chem Engn Dept, TR-06800 Ankara, Turkiye.</t>
  </si>
  <si>
    <t>gcelik@metu.edu.tr</t>
  </si>
  <si>
    <t>9J1JR</t>
  </si>
  <si>
    <t>WOS:000939952800001</t>
  </si>
  <si>
    <t>INVESTIGATION OF COMPOSITE MATERIAL PRODUCTION USING WASTE PET's</t>
  </si>
  <si>
    <t>Although the quantity of plastics recycled has increased steadily since records began, the rate of recycling is not keeping up with the rate at which virgin plastics are being produced. A higher proportion of plastics is being disposed of in landfills than ever before. The amount of plastics produced and the quantities that are discarded mean that plastic recycling continues to be a new research issue and new materials. In this study it is aimed to reduction of plastic pollution caused by waste PET (Poly ethylene Teraphtalate) bottles owing to produced a composite material. Clippings obtained from waste PET particles (flake) mixed with marble dust homogeneously in the screw mixer (extruder) resulting in the production of composite material in this study. The possible area of use of these composite materials as a sheet. To achieve these objectives, the effects of the ratio of marble dust and size of marble particles on the mechanical properties of composite material were investigated as a parameter. As the ratio of marble dust and size of the particles increased, three-point bending strength decreased, nevertheless tensile strength was not affected. In addition, the hardness of the material and the size of marble ratio was also observed to change dramatically.</t>
  </si>
  <si>
    <t>Ahrabi, AZ; Bilici, I; Bilgesu, AY</t>
  </si>
  <si>
    <t>Ahrabi, Ardalan Zarrabi; Bilici, Ibrahim; Bilgesu, Ali Y.</t>
  </si>
  <si>
    <t>JOURNAL OF THE FACULTY OF ENGINEERING AND ARCHITECTURE OF GAZI UNIVERSITY</t>
  </si>
  <si>
    <t>Recycling; Waste PET; Composite material; Marble dust</t>
  </si>
  <si>
    <t>DIFFERENTIAL SCANNING CALORIMETRY; POLYETHYLENE TEREPHTHALATE; POLY(ETHYLENE-TEREPHTHALATE); HYDROLYSIS; GLYCOLYSIS; RESIN</t>
  </si>
  <si>
    <t>[Ahrabi, Ardalan Zarrabi; Bilici, Ibrahim; Bilgesu, Ali Y.] Ankara Univ, Kimya Muhendisligi Bolumu, TR-06100 Ankara, Turkey</t>
  </si>
  <si>
    <t>Ahrabi, AZ (corresponding author), Ankara Univ, Kimya Muhendisligi Bolumu, TR-06100 Ankara, Turkey.</t>
  </si>
  <si>
    <t>ardalan_zarrabi@yahoo.com; ibilici@eng.ankara.edu.tr; bilgesu@eng.ankara.edu.tr</t>
  </si>
  <si>
    <t>Bilici, Ibrahim/AAP-2143-2021</t>
  </si>
  <si>
    <t>GAZI UNIV, FAC ENGINEERING ARCHITECTURE</t>
  </si>
  <si>
    <t>BAYAR BULVARI, MALTEPE, ANKARA, 06570, TURKEY</t>
  </si>
  <si>
    <t>1300-1884</t>
  </si>
  <si>
    <t>J FAC ENG ARCHIT GAZ</t>
  </si>
  <si>
    <t>J. Fac. Eng. Archit. Gazi Univ.</t>
  </si>
  <si>
    <t>015TT</t>
  </si>
  <si>
    <t>WOS:000309469800001</t>
  </si>
  <si>
    <t>Comparison of hydrogen production with the help of the plastic digesting organisms and by pyrolysis</t>
  </si>
  <si>
    <t>Plastic waste collected from the landfills may be washed, shredded, digested by plastic-eating microorganisms centrifuged and sent back to the landfill. If the generated water should be electrolysed, in the case of processing 10% of the annually generated plastic waste, 24.2 Mt of plastic may be eliminated and 2.4 x 10(3) kWh of energy may be recovered with the energy recovery ratio of 0.8. This ratio would be 2 in the case of pyrolysis, indicating that pyrolysis may be 2.5 folds more efficient than the microbial process. Moreover, pyrolysis occurs at high temperatures and is much faster than the microbial process. If we can find a safe way to innoculate the dump sides with the plastic digesting microorganisms, hydrogen may be generated without the production of carbon dioxide and water; the plastic waste may be reduced in the long run.</t>
  </si>
  <si>
    <t>10.1504/IJGW.2023.130138</t>
  </si>
  <si>
    <t>Yildiz, C; Olcay, AB; Ozilgen, M</t>
  </si>
  <si>
    <t>Yildiz, Cennet; Olcay, Ali Bahadir; Ozilgen, Mustafa</t>
  </si>
  <si>
    <t>INTERNATIONAL JOURNAL OF GLOBAL WARMING</t>
  </si>
  <si>
    <t>plastic waste; landfills; hydrogen-generating organisms; pyrolysis; waste reduction</t>
  </si>
  <si>
    <t>BIODEGRADATION; STORAGE; ENERGY</t>
  </si>
  <si>
    <t>[Yildiz, Cennet; Ozilgen, Mustafa] Yeditepe Univ, Dept Food Engn, Istanbul, Turkiye; [Olcay, Ali Bahadir] Yeditepe Univ, Fac Engn, Dept Mech Engn, Kayisdagi Cad, TR-34755 Istanbul, Turkiye</t>
  </si>
  <si>
    <t>Yeditepe University; Yeditepe University</t>
  </si>
  <si>
    <t>Ozilgen, M (corresponding author), Yeditepe Univ, Dept Food Engn, Istanbul, Turkiye.</t>
  </si>
  <si>
    <t>yildizcennet@outlook.com; bahadir.olcay@yeditepe.edu.tr; mozilgen@yeditepe.edu.tr</t>
  </si>
  <si>
    <t>INDERSCIENCE ENTERPRISES LTD</t>
  </si>
  <si>
    <t>GENEVA</t>
  </si>
  <si>
    <t>WORLD TRADE CENTER BLDG, 29 ROUTE DE PRE-BOIS, CASE POSTALE 856, CH-1215 GENEVA, SWITZERLAND</t>
  </si>
  <si>
    <t>1758-2083</t>
  </si>
  <si>
    <t>1758-2091</t>
  </si>
  <si>
    <t>INT J GLOBAL WARM</t>
  </si>
  <si>
    <t>Int. J. Glob. Warm.</t>
  </si>
  <si>
    <t>C9GP3</t>
  </si>
  <si>
    <t>WOS:000964922100007</t>
  </si>
  <si>
    <t>Predicting Drifting Polystyrene Degradation in World Oceans Based on Thermal Decomposition</t>
  </si>
  <si>
    <t>The accumulation of plastic litter in natural environments has become a serious global issue. Since 1972, mega to micro/nanosized drifting plastics have been determined to be highly a significant pollutant in all oceans worldwide. To clarifying numerous problems such as entanglement or improper ingestion due to drifting and debris plastic, the amounts of currently drifting plastics should be determined. For this purpose, chemicals derived from polystyrene (PS) degradation were analyzed for 4000 sand and water samples taken from around the world including open sea sites (surface to 5000 m depth) during the period from 2000 to 2018. All styrene oligomers (SOs) of styrene (styrene monomer, SM), 2,4-diphenyl-1-butene (styrene dimer, SD2), and 2,4,6-triphenyl-1-hexene (styrene trimer, ST) were found to contain products from PS degradation. On the basis of survey SO values, 1.4 x 10(9) metric tons (MT) of SO were found to have been released into world oceans between 1950 and 2018. This SO subsequently underwent conversion to 2.7 x 10(6) MT of PS. Twenty percent underwent degradation, while 1.2 x 10(7) MT of PS apparently continued to drift about in ocean water. Drifting PS has been clearly shown not only to be crushed into micro/ nanoplastic particles but also to degrade into basic structural units of SOs constituting PS.</t>
  </si>
  <si>
    <t>10.1021/acsestwater.2c00023</t>
  </si>
  <si>
    <t>Kimukai, H; Koizumi, K; Taguchi, H; Okabe, A; Takatama, K; Chung, SY; Kwon, BG; Nishimura, M; Mentese, S; Saido, K</t>
  </si>
  <si>
    <t>Kimukai, Hideki; Koizumi, Koshiro; Taguchi, Hiroyuki; Okabe, Akifumi; Takatama, Kohei; Chung, Seon Yong; Kwon, Bum Gun; Nishimura, Masahiko; Mentese, Sibel; Saido, Katsuhiko</t>
  </si>
  <si>
    <t>drifting plastic; polystyrene; degradation; styrene oligomer; toxicity</t>
  </si>
  <si>
    <t>PLASTIC DEBRIS; LAYSAN ALBATROSSES; ENTANGLEMENT; INGESTION; POLLUTION; STYRENE; SEA; MICROPLASTICS; PRODUCTS</t>
  </si>
  <si>
    <t>[Kimukai, Hideki; Saido, Katsuhiko] Albatross Alliance, Honolulu, HI 96826 USA; [Koizumi, Koshiro; Okabe, Akifumi; Saido, Katsuhiko] Nihon Univ, Coll Sci &amp; Technol, Chiyoda Ku, Tokyo 1018308, Japan; [Taguchi, Hiroyuki] Nihon Univ, Sch Pharm, Funabashi, Chiba 274855, Japan; [Takatama, Kohei] RIKEN, Adv Inst Computat Sci, Kobe, Hyogo 2778564, Japan; [Chung, Seon Yong; Kwon, Bum Gun] Chonnam Natl Univ, Gwangju 500757, South Korea; [Nishimura, Masahiko] Univ Tokyo, Atmosphere &amp; Ocean Res Inst, Kashiwa, Chiba 2770882, Japan; [Mentese, Sibel] Canakkale Onsekiz Mart Univ, TR-17020 Merkez, Canakkale, Turkey</t>
  </si>
  <si>
    <t>Nihon University; Nihon University; RIKEN; Chonnam National University; University of Tokyo; Canakkale Onsekiz Mart University</t>
  </si>
  <si>
    <t>Saido, K (corresponding author), Albatross Alliance, Honolulu, HI 96826 USA.;Saido, K (corresponding author), Nihon Univ, Coll Sci &amp; Technol, Chiyoda Ku, Tokyo 1018308, Japan.</t>
  </si>
  <si>
    <t>katsu.saido@gmail.com</t>
  </si>
  <si>
    <t>Koizumi, Koshiro/0000-0002-3664-6589; Saido, Katsuhiko/0000-0002-8797-8794</t>
  </si>
  <si>
    <t>2022 MAY 31</t>
  </si>
  <si>
    <t>2R1TI</t>
  </si>
  <si>
    <t>WOS:000820893600001</t>
  </si>
  <si>
    <t>Mechanical and physical properties and morphology of concrete containing plastic waste as aggregate</t>
  </si>
  <si>
    <t>The valorisation of plastic wastes has become a major environmental challenge. Their re-use as aggregates in the manufacture of new construction materials may contribute to eliminate these wastes and help to protect the environment, and to achieve sustainable development as well. The present work is part of an ambitious, sustainable development program. In the present experimental study we evaluated and compared the impact of substituting both fine and coarse aggregates with three plastic wastes. The wastes were; polypropylene PP, high-density polyethylene HDPE, and polyvinylchloride PVC based. Different amounts (25, 50 and 75%) of natural aggregates were substituted with the same volume of plastic aggregates. In addition to morphology, thermo-mechanical and acoustic properties, their environmental impact were evaluated. The results show, that plastic waste has a positive effect by decreasing the density. Moreover, the concrete with 75% of PE aggregate presents the lowest dynamic elastic modulus; which correspond more ductile composite. Incorporating 75% of PVC aggregates into concrete caused the thermal conductivity to decrease until 0.61 W/m.k. The use of plastic wastes in concrete allows developing a composite material with interesting acoustic insulation characteristics. Recycling waste plastics, to be used in the formulation of concrete, promising solution to reduce the impact of plastics on the environment and consequently fight pollution and global warming. (C) 2020 Elsevier Ltd. All rights reserved.</t>
  </si>
  <si>
    <t>10.1016/j.conbuildmat.2020.119559</t>
  </si>
  <si>
    <t>Belmokaddem, M; Mahi, A; Senhadji, Y; Pekmezci, BY</t>
  </si>
  <si>
    <t>Belmokaddem, Mohammed; Mahi, Abdelkader; Senhadji, Yassine; Pekmezci, Bekir Yilmaz</t>
  </si>
  <si>
    <t>CONSTRUCTION AND BUILDING MATERIALS</t>
  </si>
  <si>
    <t>Greenhouse gas emissions; Environmental impact; Lightweight concrete; Plastic waste aggregate; Modulus of elasticity; Thermal insulation</t>
  </si>
  <si>
    <t>LIGHTWEIGHT COMPOSITE MORTARS; THERMOMECHANICAL PROPERTIES; THERMAL-CONDUCTIVITY; IMPACT RESISTANCE; PET BOTTLES; BEHAVIOR; CEMENT; REPLACEMENT; PARTICLES; STRENGTH</t>
  </si>
  <si>
    <t>[Belmokaddem, Mohammed; Mahi, Abdelkader] Univ Sci &amp; Technol Oran Mohamed Boudiaf, Lab LM2SC, USTO MB, BP 1505, El Menaouar 31000, Oran, Algeria; [Belmokaddem, Mohammed; Pekmezci, Bekir Yilmaz] Istanbul Tech Univ, Civil Engn Fac, Istanbul, Turkey; [Senhadji, Yassine] Univ Mascara, Civil Engn Dept, Mascara, Algeria; [Senhadji, Yassine] ENPO Maurice Audin, Lab Lab Mat, Oran, Algeria</t>
  </si>
  <si>
    <t>Universite des Sciences et de la Technologie d'Oran Mohamed Boudiaf; Istanbul Technical University; Universite de Mascara</t>
  </si>
  <si>
    <t>Belmokaddem, M (corresponding author), Univ Sci &amp; Technol Oran Mohamed Boudiaf, Lab LM2SC, USTO MB, BP 1505, El Menaouar 31000, Oran, Algeria.</t>
  </si>
  <si>
    <t>mohammed.belmokaddem@univ-usto.dz</t>
  </si>
  <si>
    <t>Viana, jonas/IAM-2137-2023</t>
  </si>
  <si>
    <t>YASSINE, SENHADJI/0000-0003-0678-3424</t>
  </si>
  <si>
    <t>Groupe des Societes HASNAOUI (Algeria); Laboratoire des Travaux Publics de l'Ouest (LTPO), Algeria</t>
  </si>
  <si>
    <t>Authors gratefully acknowledge the support of Groupe des Societes HASNAOUI (Algeria), Laboratoire des Travaux Publics de l'Ouest (LTPO), Algeria. They do appreciate the assistance of the Laboratory of Building Materials (Turkey).</t>
  </si>
  <si>
    <t>0950-0618</t>
  </si>
  <si>
    <t>1879-0526</t>
  </si>
  <si>
    <t>CONSTR BUILD MATER</t>
  </si>
  <si>
    <t>Constr. Build. Mater.</t>
  </si>
  <si>
    <t>OCT 10</t>
  </si>
  <si>
    <t>Construction &amp; Building Technology; Engineering, Civil; Materials Science, Multidisciplinary</t>
  </si>
  <si>
    <t>Construction &amp; Building Technology; Engineering; Materials Science</t>
  </si>
  <si>
    <t>MF8AJ</t>
  </si>
  <si>
    <t>WOS:000545559400061</t>
  </si>
  <si>
    <t>Marine litter monitoring on the Black Sea beaches in 2019: The ANEMONE Project experience</t>
  </si>
  <si>
    <t>Plastic debris is a complex cultural and multi-sectoral problem that imposes tremendous ecological, economic, and social costs around the world. One of the substantial barriers to addressing plastic pollution is the absence of adequate scientific research, assessment, and monitoring. There is a gap in information needed to evaluate impacts of marine litter on coastal and marine species, habitats, economic health, human health and safety, and social values. The Black Sea does not represent an exception and the assessments made in 2019, within Assessing the vulnerability of the Black Sea marine ecosystem to human pressures (ANEMONE) project represent step forward in filling this knowledge gap. 28 surveys were performed in Romania, Turkey, Bulgaria and Ukraine in spring (April) and autumn (October - November) of 2019 and artificial polymer material accounted for 78%.</t>
  </si>
  <si>
    <t>Paiu, A; Mirea, MC; Gheorghe, AM; Ionascu, AS; Paiu, M; Timofte, C; Panayotova, M; Bekova, R; Todorova, V; Stefanova, K; Gumus, M; Mihova, S; Ozturk, AA; Gulenc, Z; Yuriy, D; Vishnyakova, K</t>
  </si>
  <si>
    <t>Paiu, Angelica; Mirea, Mihaela Candea; Gheorghe, Anca-Maria; Ionascu, Andreea Stefania; Paiu, Marian; Timofte, Costin; Panayotova, Marina; Bekova, Radoslava; Todorova, Valentina; Stefanova, Kremena; Gumus, Media; Mihova, Svetlana; Ozturk, Ayaka Amaha; Gulenc, Zeynep; Yuriy, Denga; Vishnyakova, Karina</t>
  </si>
  <si>
    <t>Marine litter; Black Sea; ANEMONE; plastics; pollution</t>
  </si>
  <si>
    <t>PLASTIC DEBRIS</t>
  </si>
  <si>
    <t>[Paiu, Angelica; Mirea, Mihaela Candea; Gheorghe, Anca-Maria; Ionascu, Andreea Stefania; Paiu, Marian; Timofte, Costin] Mare Nostrum NGO, Bogdan Voda 16str, Constanta 900613, Romania; [Panayotova, Marina; Bekova, Radoslava; Todorova, Valentina; Stefanova, Kremena; Gumus, Media; Mihova, Svetlana] Inst Oceanol BAS, Parvi May 40 Str,POB 152, Varna 9000, Bulgaria; [Ozturk, Ayaka Amaha; Gulenc, Zeynep] Turkish Marine Res Fdn, POB 10, TR-34820 Istanbul, Turkey; [Yuriy, Denga; Vishnyakova, Karina] Ukrainian Sci Ctr Ecol Sea, 89 Frantsuzsky Blvd, Odessa, Ukraine</t>
  </si>
  <si>
    <t>Bulgarian Academy of Sciences; Turkish Marine Research Foundation; Ukrainian Scientific Center of Ecology of the Sea (UkrSCES)</t>
  </si>
  <si>
    <t>Paiu, A (corresponding author), Mare Nostrum NGO, Bogdan Voda 16str, Constanta 900613, Romania.</t>
  </si>
  <si>
    <t>angelica_iosif@marenostrum.ro</t>
  </si>
  <si>
    <t>Bekova, Radoslava/HKN-3385-2023; Ozturk, Ayaka Amaha/AAD-6380-2020; Amaha Ozturk, Ayaka/AAB-8197-2022</t>
  </si>
  <si>
    <t xml:space="preserve">Bekova, Radoslava/0000-0002-9353-1956; </t>
  </si>
  <si>
    <t>WOS:000637180200004</t>
  </si>
  <si>
    <t>Anthropogenic litter composition and distribution along a chemical contamination gradient at Santos Estuarine System-Brazil</t>
  </si>
  <si>
    <t>Anthropogenic litter (AL) distribution was assessed on beaches presenting different levels of urban occupation at Santos Estuarine System. Plastics and cigarette butts were the items most found at sampling sites. Plastic items sub-categories, such as cotton buds, lids, microcentrifuge tubes, pellets, and polystyrene foam, presented sources related to industrial, tourism and port activities, and sewage discharges. The contamination gradient already reported for hazardous chemical levels was also observed for AL. Litter categories related to local and allochthonous sources presented a gradient of spatial distribution. Although touristic activities are an impactful and variable factor, the number of inhabitants was positively correlated with most AL categories. The semi-urban beach (S1) was classified as extremely dirty, and it was mostly covered by hazardous AL. The semi-remote (S2) and remote (S3) beaches were classified as moderate and clean with some or few hazardous AL, respectively. Therefore, urban and hydrodynamic gradients drive marine litter distribution on studied zone. (c) 2021 Elsevier B.V. All rights reserved.</t>
  </si>
  <si>
    <t>10.1016/j.rsma.2021.101902</t>
  </si>
  <si>
    <t>Ribeiro, VV; Harayashiki, CAY; Ertas, A; Castro, IB</t>
  </si>
  <si>
    <t>Ribeiro, Victor Vasques; Yokota Harayashiki, Cyntia Ayumi; Ertas, Alperen; Castro, Italo Braga</t>
  </si>
  <si>
    <t>Plastic; Cigarette butts; Contamination gradient; Hazardous items; Tourism</t>
  </si>
  <si>
    <t>EASTERN BLACK-SEA; MARINE LITTER; PLASTIC PELLETS; SHELL ALTERATIONS; DEBRIS; ABUNDANCE; BEACHES; ACCUMULATION; COAST; POLLUTION</t>
  </si>
  <si>
    <t>[Ribeiro, Victor Vasques; Yokota Harayashiki, Cyntia Ayumi; Castro, Italo Braga] Univ Fed Sao Paulo, Inst Mar, Santos, SP, Brazil; [Ertas, Alperen] Ege Univ, Fac Sci, Dept Biol, TR-35100 Izmir, Turkey</t>
  </si>
  <si>
    <t>Universidade Federal de Sao Paulo (UNIFESP); Ege University</t>
  </si>
  <si>
    <t>Castro, IB (corresponding author), Univ Fed Sao Paulo, Inst Mar, Santos, SP, Brazil.</t>
  </si>
  <si>
    <t>ibcastro@unifesp.br</t>
  </si>
  <si>
    <t>Ribeiro, Victor Vasques/AAS-2468-2020; ERTAŞ, Alperen/AAC-6271-2021; Castro, Ítalo Braga/F-6412-2010</t>
  </si>
  <si>
    <t>Ribeiro, Victor Vasques/0000-0002-4977-8812; ERTAŞ, Alperen/0000-0001-8510-6100; Castro, Ítalo Braga/0000-0001-8303-5150; Harayashiki, Cyntia/0000-0003-0050-0147</t>
  </si>
  <si>
    <t>Sao Paulo Research Foundation, Brazil (FAPESP) [2019/13750-4, 2018/08015-0, 2020/08960]; CNPq, Brazil [PQ 302713/2018-2]</t>
  </si>
  <si>
    <t>Sao Paulo Research Foundation, Brazil (FAPESP)(Fundacao de Amparo a Pesquisa do Estado de Sao Paulo (FAPESP)); CNPq, Brazil(Conselho Nacional de Desenvolvimento Cientifico e Tecnologico (CNPQ))</t>
  </si>
  <si>
    <t>This research was support by Sao Paulo Research Foundation, Brazil (FAPESP n. 2019/13750-4). I.B. Castro (PQ 302713/2018-2) was recipient of research productivity fellowship from the CNPq, Brazil. C.A.Y. Harayashiki (FAPESP Proc. no 2018/08015-0) and V.V. Ribeiro (FAPESP Proc. no 2020/08960) were sponsored by Sao Paulo Research Foundation, Brazil. We thank the anonymous reviewers and friends Amanda Cinquini, Keverson Soares and Mariana Ferreira for their help during sampling.</t>
  </si>
  <si>
    <t>TL1WF</t>
  </si>
  <si>
    <t>WOS:000674645000006</t>
  </si>
  <si>
    <t>The Role of Environmental Factors in the Investment Prioritization of Facilities Using Recycled PVC</t>
  </si>
  <si>
    <t>There are many types of solid wastes however, plastic wastes are among the ones which have several harmful effects on the environment. Plastic wastes have a long decomposition time in nature and the dangerous chemical compounds in them make them a threat for the environment along with other types of waste. Contamination caused by the plastic wastes attracts worldwide attention nowadays. As a member of thermoplastic polymers family, polyvinyl chloride (PVC) products are one of the most preferred type of plastic composition, which holds an important ratio in the total plastic waste amount. PVC wastes should either be disposed or recycled to minimize their harmful effects on the environment. The disposal approach is easy and cheap, but recycling alternative requires the investment on special facilities hence, a more expensive solution. However, disposal alternatives, such as landfilling and incineration, may also cause pollution due to high chlorine content of PVC; whereas, mechanical and chemical recycling options reduce many environmental problems. There is a clear tradeoff in the decision of handling PVC waste between the costs and environmental effects. The purpose of this study is to evaluate the factors considered during the investment decisions of PVC manufacturers to find out the importance of environmental factors by using a multi-criteria group decision making method.</t>
  </si>
  <si>
    <t>10.15244/pjoes/130636</t>
  </si>
  <si>
    <t>Bac, U</t>
  </si>
  <si>
    <t>Bac, Ugur</t>
  </si>
  <si>
    <t>POLISH JOURNAL OF ENVIRONMENTAL STUDIES</t>
  </si>
  <si>
    <t>polyvinyl chloride; recycling; solid waste management; multi-criteria group decision making; plastic waste</t>
  </si>
  <si>
    <t>KEY PERFORMANCE INDICATORS; SOLID-WASTE MANAGEMENT; LIFE-CYCLE ASSESSMENT; MULTICRITERIA DECISION-MAKING; POLYVINYL-CHLORIDE; ASSESSMENT LCA; SUPPLY CHAIN; COMBUSTION; CONTEXT</t>
  </si>
  <si>
    <t>[Bac, Ugur] Atilim Univ, Dept Ind Engn, Ankara, Turkey</t>
  </si>
  <si>
    <t>Atilim University</t>
  </si>
  <si>
    <t>Bac, U (corresponding author), Atilim Univ, Dept Ind Engn, Ankara, Turkey.</t>
  </si>
  <si>
    <t>ugur.bac@atilim.edu.tr</t>
  </si>
  <si>
    <t>Bac, Ugur/AAB-3960-2020</t>
  </si>
  <si>
    <t>Bac, Ugur/0000-0003-3195-0829</t>
  </si>
  <si>
    <t>HARD</t>
  </si>
  <si>
    <t>OLSZTYN 5</t>
  </si>
  <si>
    <t>POST-OFFICE BOX, 10-718 OLSZTYN 5, POLAND</t>
  </si>
  <si>
    <t>1230-1485</t>
  </si>
  <si>
    <t>2083-5906</t>
  </si>
  <si>
    <t>POL J ENVIRON STUD</t>
  </si>
  <si>
    <t>Pol. J. Environ. Stud.</t>
  </si>
  <si>
    <t>SQ7QQ</t>
  </si>
  <si>
    <t>WOS:000660546600003</t>
  </si>
  <si>
    <t>Methane-rich syngas production by gasification of thermoset waste plastics</t>
  </si>
  <si>
    <t>Thermoset waste plastics from a cable materials company have been processed using pyrolysis/gasification in a fixed-bed steel reactor with cyclone separation unit to produce fuel gas mixture consisting primarily of H-2, CH4, and CO. Initially, samples were pyrolysed at 600 A degrees C and processed for gasification through 0.05 L min(-1) dry air at 750 A degrees C. Following samples were conducted under direct gasification conditions at dry air flows varying 0.05, 0.1, and 0.2 L min(-1) at 750 A degrees C. Transformation of solid residual, and liquid and gas products which were obtained at the end of the thermal processes conducted under varying conditions was monitored. Volume percentages of H-2, CH4, and CO gases within the produced gas were instantly measured via continuous gas analyser. It was determined that thermoset plastic waste which can remain in the environment without disintegration decreases in mass by 94 % and solid forms being easy to control occur at the end of heat treatment. Within the scope of waste-to-energy, 3100 kcal m(-3) medium calorific value gas was produced through direct gasification 750 A degrees C and optimum air volume was 0.05 L min(-1). Data management and statistical analysis were carried out with SPSS software. Thermochemical processing of waste plastic from waste wire and cable materials in a fixed-bed steel reactor with a cyclone separator achieved promising results to produce synthetic fuel gas.</t>
  </si>
  <si>
    <t>10.1007/s10098-015-1071-1</t>
  </si>
  <si>
    <t>Ongen, A</t>
  </si>
  <si>
    <t>Ongen, Atakan</t>
  </si>
  <si>
    <t>CLEAN TECHNOLOGIES AND ENVIRONMENTAL POLICY</t>
  </si>
  <si>
    <t>Waste-to-energy; Pyrolysis; Gasification; Syngas; Waste minimization</t>
  </si>
  <si>
    <t>CO-GASIFICATION; PYROLYSIS; HYDROGEN; POLYETHYLENE; KINETICS; BIOMASS; LIGNITE; GAS</t>
  </si>
  <si>
    <t>[Ongen, Atakan] Istanbul Univ, Dept Environm Engn, TR-34320 Istanbul, Turkey</t>
  </si>
  <si>
    <t>Ongen, A (corresponding author), Istanbul Univ, Dept Environm Engn, TR-34320 Istanbul, Turkey.</t>
  </si>
  <si>
    <t>aongen@istanbul.edu.tr</t>
  </si>
  <si>
    <t>Öngen, Atakan/AAH-1510-2019</t>
  </si>
  <si>
    <t>Öngen, Atakan/0000-0002-9043-7382</t>
  </si>
  <si>
    <t>233 SPRING ST, NEW YORK, NY 10013 USA</t>
  </si>
  <si>
    <t>1618-954X</t>
  </si>
  <si>
    <t>1618-9558</t>
  </si>
  <si>
    <t>CLEAN TECHNOL ENVIR</t>
  </si>
  <si>
    <t>Clean Technol. Environ. Policy</t>
  </si>
  <si>
    <t>DF8TI</t>
  </si>
  <si>
    <t>WOS:000371631800024</t>
  </si>
  <si>
    <t>Nuclear reactor monitoring with gadolinium-loaded plastic scintillator modules</t>
  </si>
  <si>
    <t>In this study, simulation-based design and optimization studies of a gadolinium-loaded segmented plastic scintillator detector are presented for monitoring applications of nuclear reactors in Turkey using antineutrinos. For the first time in the literature, a multivariate analysis technique is introduced to suppress cosmic background for such a reactor antineutrino detector.</t>
  </si>
  <si>
    <t>10.1016/j.nima.2019.163314</t>
  </si>
  <si>
    <t>Ozturk, S</t>
  </si>
  <si>
    <t>Ozturk, Sertac</t>
  </si>
  <si>
    <t>NUCLEAR INSTRUMENTS &amp; METHODS IN PHYSICS RESEARCH SECTION A-ACCELERATORS SPECTROMETERS DETECTORS AND ASSOCIATED EQUIPMENT</t>
  </si>
  <si>
    <t>Nuclear reactor; Neutrino; Safeguards; Detector; Scintillator; Simulation</t>
  </si>
  <si>
    <t>NEUTRINO</t>
  </si>
  <si>
    <t>[Ozturk, Sertac] Tokat Gaziosmanpasa Univ, Dept Phys, TR-60250 Tokat, Turkey</t>
  </si>
  <si>
    <t>Gaziosmanpasa University</t>
  </si>
  <si>
    <t>Ozturk, S (corresponding author), Tokat Gaziosmanpasa Univ, Dept Phys, TR-60250 Tokat, Turkey.</t>
  </si>
  <si>
    <t>Sertac.ozturk@cern.ch</t>
  </si>
  <si>
    <t>Ozturk, Sertac/AAZ-1542-2020; Ozturk, Sertac/AGO-2476-2022</t>
  </si>
  <si>
    <t>Ozturk, Sertac/0000-0001-6533-6144</t>
  </si>
  <si>
    <t>0168-9002</t>
  </si>
  <si>
    <t>1872-9576</t>
  </si>
  <si>
    <t>NUCL INSTRUM METH A</t>
  </si>
  <si>
    <t>Nucl. Instrum. Methods Phys. Res. Sect. A-Accel. Spectrom. Dect. Assoc. Equip.</t>
  </si>
  <si>
    <t>MAR 1</t>
  </si>
  <si>
    <t>Instruments &amp; Instrumentation; Nuclear Science &amp; Technology; Physics, Nuclear; Physics, Particles &amp; Fields</t>
  </si>
  <si>
    <t>Instruments &amp; Instrumentation; Nuclear Science &amp; Technology; Physics</t>
  </si>
  <si>
    <t>KF0KR</t>
  </si>
  <si>
    <t>WOS:000508940400027</t>
  </si>
  <si>
    <t>Comparison of plastic antineutrino detector designs in the context of near field reactor monitoring</t>
  </si>
  <si>
    <t>We compare existing segmented plastic antineutrino detectors with our new geometrically improved design for antineutrino detection and light collection efficiency. The purpose of this study is to determine the most suitable design style for remote reactor monitoring in the context of nuclear safeguards. Using Monte Carlo based GEANT4 simulation package, we perform detector simulation based on two prominent experiments: Plastic antineutrino detector array (Panda) and Core monitoring by reactor antineutrino detector (Cormorad). In addition to these two well-known designs, another concept, the Panda2, can be obtained by making a small variation of Panda detector, is also considered in the simulation. The results show that the light collection efficiency of the Cormorad is substantially less with respect to the other two detectors while the highest antineutrino detection efficiency is achieved with the Cormorad and Panda2. Furthermore, as an alternative to these design choices, which are composed of an array of identical rectangular-shaped modules, we propose to combine regular hexagonal-shaped modules which minimizes the surface area of the whole detector and consequently reduces the number of optical readout channels considerably. With this approach, it is possible to obtain a detector configuration with a slightly higher detection efficiency with respect to the Panda design and a better energy resolution detector compared to the Cormorad design.</t>
  </si>
  <si>
    <t>10.1016/j.nima.2019.02.055</t>
  </si>
  <si>
    <t>Kandemir, M; Cakir, A</t>
  </si>
  <si>
    <t>Kandemir, Mustafa; Cakir, Altan</t>
  </si>
  <si>
    <t>Reactor antineutrinos; Remote reactor monitoring; Plastic antineutrino detectors; Hexagonal shaped plastic scintillator; GEANT4</t>
  </si>
  <si>
    <t>SCINTILLATOR ARRAY; NEUTRINO; SAFEGUARDS; SIMULATION</t>
  </si>
  <si>
    <t>[Kandemir, Mustafa; Cakir, Altan] Istanbul Tech Univ, Dept Phys Engn, TR-34469 Istanbul, Turkey; [Kandemir, Mustafa] Recep Tayyip Erdogan Univ, Dept Phys, TR-53100 Rize, Turkey</t>
  </si>
  <si>
    <t>Istanbul Technical University; Recep Tayyip Erdogan University</t>
  </si>
  <si>
    <t>Cakir, A (corresponding author), Istanbul Tech Univ, Dept Phys Engn, TR-34469 Istanbul, Turkey.</t>
  </si>
  <si>
    <t>mustafa.kandemir@erdogan.edu.tr; cakir@cern.ch</t>
  </si>
  <si>
    <t>CAKIR, Altan/ABD-4450-2020</t>
  </si>
  <si>
    <t>CAKIR, Altan/0000-0002-8627-7689; Kandemir, Mustafa/0000-0002-3642-9699</t>
  </si>
  <si>
    <t>ELSEVIER SCIENCE BV</t>
  </si>
  <si>
    <t>PO BOX 211, 1000 AE AMSTERDAM, NETHERLANDS</t>
  </si>
  <si>
    <t>MAY 21</t>
  </si>
  <si>
    <t>HQ1FD</t>
  </si>
  <si>
    <t>WOS:000462142700047</t>
  </si>
  <si>
    <t>Hydrophobic Pesticide Endosulfan (alpha plus beta) and Endrin Sorption on Different Types of Microplastics</t>
  </si>
  <si>
    <t>Ease of plastics production has caused high usage in many areas from water bottles, furniture and packaging to cosmetics during the last decade. Plastic products cause environmental pollution due to the high demand in the industry. It is known that pesticides are used to prevent various pests in order to increase production efficiency. With the use of such substances, there is considerable growth in the amount of product. However, pesticides remain on the water, soil, fruits, and vegetables for a long time, causing environmental pollution and thus leading to various damages that can reach people through the food chain. Since some of the mostly found pesticides in the environment are endosulfan and endrin, the sorbing capacities of endosulfan and endrin on microplastics have been investigated. The kinetic parameters at 23 degrees C in ultrapure water, hexane and saline water have been tested to show the effect of solvents on sorption behaviors.</t>
  </si>
  <si>
    <t>Yurtsever, M; Oz, N; Aksu, A; Balkis, N; Altug, G; Taskin, OS</t>
  </si>
  <si>
    <t>Yurtsever, Meral; Oz, Nurtac; Aksu, Abdullah; Balkis, Nuray; Altug, Gulsen; Taskin, Omer Suat</t>
  </si>
  <si>
    <t>JOURNAL OF THE CHEMICAL SOCIETY OF PAKISTAN</t>
  </si>
  <si>
    <t>Microplastics; Endosulfan; Endrin; Sorption; Pesticide; Pollution</t>
  </si>
  <si>
    <t>PERSISTENT ORGANIC POLLUTANTS; POLYCYCLIC AROMATIC-HYDROCARBONS; ADSORPTION; CONTAMINANTS; DESORPTION; POLLUTION; MANAGEMENT; TRANSPORT; ABUNDANCE; SEDIMENTS</t>
  </si>
  <si>
    <t>[Yurtsever, Meral; Oz, Nurtac] Sakarya Univ, Engn Fac, Dept Environm Engn, TR-54187 Sakarya, Turkey; [Aksu, Abdullah; Balkis, Nuray; Taskin, Omer Suat] Istanbul Univ, Inst Marine Sci &amp; Management, Dept Chem Oceanog, TR-34134 Istanbul, Turkey; [Altug, Gulsen] Istanbul Univ, Fac Aquat Sci, Dept Marine Biol, Istanbul, Turkey</t>
  </si>
  <si>
    <t>Sakarya University; Istanbul University; Istanbul University</t>
  </si>
  <si>
    <t>Oz, N (corresponding author), Sakarya Univ, Engn Fac, Dept Environm Engn, TR-54187 Sakarya, Turkey.</t>
  </si>
  <si>
    <t>mevci@sakarya.edu.tr; nuroz@sakarya.edu.tr</t>
  </si>
  <si>
    <t>Aksu, Abdullah/AAB-8463-2020; OZ, Nurtac/HKO-2365-2023; Yurtsever, Meral/GYU-5307-2022</t>
  </si>
  <si>
    <t>OZ, Nurtac/0000-0003-2204-6993; Yurtsever, Meral/0000-0002-7965-1919</t>
  </si>
  <si>
    <t>The authors would like to thank TUBITAK (The Scientific and Technological Research Council of Turkey) for their financial support (Project No: 115Y303).</t>
  </si>
  <si>
    <t>CHEM SOC PAKISTAN</t>
  </si>
  <si>
    <t>KARACHI</t>
  </si>
  <si>
    <t>HEJ RES INST CHEM UNIV KARACHI, 75270 KARACHI, PAKISTAN</t>
  </si>
  <si>
    <t>0253-5106</t>
  </si>
  <si>
    <t>J CHEM SOC PAKISTAN</t>
  </si>
  <si>
    <t>J. Chem. Soc. Pak.</t>
  </si>
  <si>
    <t>OF3NY</t>
  </si>
  <si>
    <t>WOS:000581120200017</t>
  </si>
  <si>
    <t>Energy recovery from waste plastic oils as an alternative fuel source and comparative assessment of engine characteristics at varying fuel injection timings</t>
  </si>
  <si>
    <t>The present study deals with the experimental results of diesel engine behaviors when using waste plastics oil blend (WPB) as a substitute at volumetrically 20%, 40%, and 100% to conventional diesel fuel. In order to conduct the engine testing, a direct-injection diesel engine with a typical 17.5 of CR and 210 bar was used (higher fuel injection pressure). In the current study, the load on the engine is altered from 0% to 100% at intervals of 25%, and the advanced fuel injection time (AFIT) is changed from 17.5 degrees to 25.0 degrees at intervals of 2.5 degrees. It is shown that the pursuit of optimal AFIT instants enhanced engine performance and permitted more advantageous energy conversions from waste plastics in comparison to those of conventional diesel. While it has been found that blending waste plastic oil with diesel at low concentrations improves engine combustion, performance, and production physiognomies, it has also been found that increasing the concentration of waste plastic oil in the test fuels has a negative impact on the engine characteristics. The WPB20D80 displays a maximum brake thermal efficiency of 26.1% at 22.5 AFITs and 1500 rpm, which is 2.6% higher than the WPB0D100. On the other hand, a reduction of 0.6% in brake-specific fuel consumption is noticed by WPB20D80. In contrast, diesel has a 2.6% higher NOx emission at 22.5 AFITs with 1500 rpm. WPB20D80 was found to have a reduction of 6.3% in smoke level when compared to diesel at 1500 rpm. In the conclusion, the present work shows that waste plastic oils at low concentrations can be used as a fuel substitute for diesel engines, and this case presents a promising solution to waste management.</t>
  </si>
  <si>
    <t>10.1016/j.energy.2023.127374</t>
  </si>
  <si>
    <t>Mohan, RK; Sarojini, J; Agbulut,; Rajak, U; Verma, TN; Reddy, KT</t>
  </si>
  <si>
    <t>Mohan, Revu Krishna; Sarojini, Jajimoggala; Agbulut, Umit; Rajak, Upendra; Verma, Tikendra Nath; Reddy, K. Thirupathi</t>
  </si>
  <si>
    <t>ENERGY</t>
  </si>
  <si>
    <t>Waste plastic oil; Biofuels; Performance; Combustion; Exhaust pollutants</t>
  </si>
  <si>
    <t>COMBUSTION; BIODIESEL</t>
  </si>
  <si>
    <t>[Mohan, Revu Krishna] Lenora Coll Engn Rampachodvaram, Dept Mech Engn, Rampachodvaram 533288, Andhra Pradesh, India; [Sarojini, Jajimoggala] GITAM Deemed Be Univ, Dept Mech Engn, Visakhapatnam 530045, Andhra Pradesh, India; [Agbulut, Umit] Duzce Univ, Fac Engn, Dept Mech Engn, TR-81620 Duzce, Turkiye; [Rajak, Upendra; Reddy, K. Thirupathi] Rajeev Gandhi Mem Coll Engn &amp; Technol, Dept Mech Engn, Nandyal 518501, India; [Verma, Tikendra Nath] Maulana Azad Natl Inst Technol Bhopal, Dept Mech Engn, Bhopal 462003, Madhya Pradesh, India</t>
  </si>
  <si>
    <t>Gandhi Institute of Technology &amp; Management (GITAM); Duzce University; National Institute of Technology (NIT System); Maulana Azad National Institute of Technology Bhopal</t>
  </si>
  <si>
    <t>Agbulut, (corresponding author), Duzce Univ, Fac Engn, Dept Mech Engn, TR-81620 Duzce, Turkiye.;Verma, TN (corresponding author), Maulana Azad Natl Inst Technol Bhopal, Dept Mech Engn, Bhopal 462003, Madhya Pradesh, India.</t>
  </si>
  <si>
    <t>umitagbulut@duzce.edu.tr; verma.tikks@gmail.com</t>
  </si>
  <si>
    <t>0360-5442</t>
  </si>
  <si>
    <t>1873-6785</t>
  </si>
  <si>
    <t>Energy</t>
  </si>
  <si>
    <t>Thermodynamics; Energy &amp; Fuels</t>
  </si>
  <si>
    <t>G6ZI9</t>
  </si>
  <si>
    <t>WOS:000990613500001</t>
  </si>
  <si>
    <t>Direct determination of lead in plastic toys by solid sampling high resolution-continuum source graphite furnace atomic absorption spectrometry</t>
  </si>
  <si>
    <t>In this study, lead concentrations in various plastic toys were determined directly by solid sampling high resolution continuum source graphite furnace atomic absorption spectrometry. The toys were cut into small pieces and introduced into the graphite furnace between 0.05 and 0.7 mg without any further treatment. Lead was determined at 217.005 nm using a Pd + Mg modifier. The samples were pyrolyzed at 1000 degrees C and atomized at 2200 degrees C with or without gas flow at the atomization stage depending on the concentration of the analyte. The lead concentration in a certified reference plastic material (ERM-EC680K) was determined in the uncertainty limits of the certified value. The limits of detection in gas-stop and gas-flow modes for 0.7 mg of sample were 0.037 and 0.93 mg kg(-1), respectively. The concentrations of lead in plastic toys of different colours were found to be in the range of 0.060-9.12 mg kg(-1).</t>
  </si>
  <si>
    <t>10.1039/c5ja00185d</t>
  </si>
  <si>
    <t>Ozbek, N; Ustabasi, GS; Akman, S</t>
  </si>
  <si>
    <t>Ozbek, Nil; Ustabasi, Gul Sirin; Akman, Suleyman</t>
  </si>
  <si>
    <t>JOURNAL OF ANALYTICAL ATOMIC SPECTROMETRY</t>
  </si>
  <si>
    <t>DUAL-CAVITY PLATFORM; ELECTRONIC EQUIPMENT; NICKEL CHLORIDE; FOOD SAMPLES; INTERFERENCES; ATOMIZATION; DIGESTION; CADMIUM; SULFUR; AAS</t>
  </si>
  <si>
    <t>[Ozbek, Nil; Ustabasi, Gul Sirin; Akman, Suleyman] Istanbul Tech Univ, Dept Chem, Fac Arts &amp; Sci, TR-34469 Istanbul, Turkey</t>
  </si>
  <si>
    <t>Akman, S (corresponding author), Istanbul Tech Univ, Dept Chem, Fac Arts &amp; Sci, TR-34469 Istanbul, Turkey.</t>
  </si>
  <si>
    <t>akmans@itu.edu.tr</t>
  </si>
  <si>
    <t>Özbek, Nil/C-7518-2013; Akman, Suleyman/C-1418-2014</t>
  </si>
  <si>
    <t>Özbek, Nil/0000-0002-2814-5442; Akman, Suleyman/0000-0002-8625-783X; Ustabasi, Gul Sirin/0000-0003-1828-5297</t>
  </si>
  <si>
    <t>ROYAL SOC CHEMISTRY</t>
  </si>
  <si>
    <t>CAMBRIDGE</t>
  </si>
  <si>
    <t>THOMAS GRAHAM HOUSE, SCIENCE PARK, MILTON RD, CAMBRIDGE CB4 0WF, CAMBS, ENGLAND</t>
  </si>
  <si>
    <t>0267-9477</t>
  </si>
  <si>
    <t>1364-5544</t>
  </si>
  <si>
    <t>J ANAL ATOM SPECTROM</t>
  </si>
  <si>
    <t>J. Anal. At. Spectrom.</t>
  </si>
  <si>
    <t>Chemistry, Analytical; Spectroscopy</t>
  </si>
  <si>
    <t>Chemistry; Spectroscopy</t>
  </si>
  <si>
    <t>CN5VX</t>
  </si>
  <si>
    <t>WOS:000358500800010</t>
  </si>
  <si>
    <t>Alternative fuel production from waste plastics and their usability in light duty diesel engine: Combustion, energy, and environmental analysis</t>
  </si>
  <si>
    <t>Green biofuels have long been touted as a potential solution to society's reliance on fossil fuels and pollution emission problems. Commercially available renewable fuels like waste plastics oil alternative (P) made from waste plastic oil could take the place of fossil fuels, especially in diesel engines. Binary alternatives and diesel blends that partially replace diesel can be used in diesel engines without requiring major modifications. A four-stroke diesel engine used in the experiment was fed waste plastics oil alternative (up to 40% volumetric content), and diesel (D) mixes. Each binary blend is stabilised by a volumetric concentration and is composed of varying oil proportions. The investigations, therefore, relate partial diesel replacements to assessments of engine perfor-mance and mix combustion under various load conditions (25-100%), speeds (1200-1800 rpm), and compression ratios (15-19). Results showed that alternative-diesel mixtures up to 40% can still operate reliably. Thermal efficiency was somewhat lower than for diesel which was 100%. The experiment revealed higher fuel use, smoke, and NO emissions. The conclusion of the present research states that waste product oils can compete with fossil fuels in terms of engine performance, combustion, and emission characteristics when utilized in light -duty engines.</t>
  </si>
  <si>
    <t>10.1016/j.energy.2022.126140</t>
  </si>
  <si>
    <t>Mohan, RK; Sarojini, J; Rajak, U; Verma, TN; Agbulute, U</t>
  </si>
  <si>
    <t>Mohan, Revu Krishn; Sarojini, Jajimoggala; Rajak, Upendra; Verma, Tikendra Nath; Agbulute, Uemit</t>
  </si>
  <si>
    <t>Light duty engine; Biofuels; Waste plastic oil; Performance; Ignition; Discharges</t>
  </si>
  <si>
    <t>PYROLYSIS OIL; CATALYTIC PYROLYSIS; METHYL-ESTER; PERFORMANCE; EMISSION; BIODIESEL; REDUCTION; RATIO</t>
  </si>
  <si>
    <t>[Mohan, Revu Krishn] Lenora Coll Engn, Dept Mech Engn, Rampachodvaram 533288, Andhra Pradesh, India; [Sarojini, Jajimoggala] GITAM Univ, Dept Mech Engn, Visakhapatnam 530045, Andhra Pradesh, India; [Rajak, Upendra] RGM Coll Engn &amp; Technol, Dept Mech Engn, Nandyal 518501, Andhra Pradesh, India; [Verma, Tikendra Nath] Maulana Azad Natl Inst Technol, Dept Mech Engn, Bhopal 462003, Madhya Pradesh, India; [Agbulute, Uemit] Duzce Univ, Dept Mech Engn, TR-81620 Duzce, Turkiye</t>
  </si>
  <si>
    <t>Gandhi Institute of Technology &amp; Management (GITAM); National Institute of Technology (NIT System); Maulana Azad National Institute of Technology Bhopal; Duzce University</t>
  </si>
  <si>
    <t>Verma, TN (corresponding author), Maulana Azad Natl Inst Technol, Dept Mech Engn, Bhopal 462003, Madhya Pradesh, India.;Agbulute, U (corresponding author), Duzce Univ, Dept Mech Engn, TR-81620 Duzce, Turkiye.</t>
  </si>
  <si>
    <t>verma.tikks@gmail.com; umitagbulut@duzce.edu.tr</t>
  </si>
  <si>
    <t>Upendra, Rajak/ABD-7348-2021</t>
  </si>
  <si>
    <t>Upendra, Rajak/0000-0002-3884-8758; Agbulut, Umit/0000-0002-6635-6494</t>
  </si>
  <si>
    <t>FEB 15</t>
  </si>
  <si>
    <t>8D5LY</t>
  </si>
  <si>
    <t>WOS:000918335800002</t>
  </si>
  <si>
    <t>Length of dislocations during band formation of irregular plastic flow</t>
  </si>
  <si>
    <t>Average dislocation length during the fast regime (formation and development phase) of deformation bands in aluminum alloy AA 3204 undergoing irregular plastic flow was estimated. It has already been demonstrated that the electrons embedded in dislocation core domains (bound states) in slip planes during the regime expose out to specimen surface and create an extra potential. Hence, the potential at a fixed location was monitored in an electrochemical cell containing a dilute electrolyte. From the measured potential the number of the bound states was calculated and an estimation for total number of dislocated atoms considering probable single and double charge states was carried out. Then, using the data in the literature on number of dislocation events per band taken by acoustic emission technique, the average dislocation length during the fast regime was calculated. For probable charge states such as doublets and singlets, the dislocation lengths were respectively found to be 190 nm and 380 nm for the fast regime. Dislocations of such length were thought to be critical for band formation events of an irregular plastic deformation. (C) 2020 Elsevier B.V. All rights reserved.</t>
  </si>
  <si>
    <t>10.1016/j.matlet.2020.127871</t>
  </si>
  <si>
    <t>Yilmaz, A</t>
  </si>
  <si>
    <t>Yilmaz, A.</t>
  </si>
  <si>
    <t>MATERIALS LETTERS</t>
  </si>
  <si>
    <t>Aluminum alloys; Irregular plastic deformation; Deformation bands; Surface potential; Dislocation length; Portevin-Le Chatelier effect</t>
  </si>
  <si>
    <t>ACOUSTIC-EMISSION; DEFORMATION; DENSITY; AL</t>
  </si>
  <si>
    <t>[Yilmaz, A.] Sivas Univ Sci &amp; Technol, Aviat &amp; Space Sci Fac, Sivas, Turkey</t>
  </si>
  <si>
    <t>Sivas University of Science &amp; Technology</t>
  </si>
  <si>
    <t>Yilmaz, A (corresponding author), Sivas Univ Sci &amp; Technol, Aviat &amp; Space Sci Fac, Sivas, Turkey.</t>
  </si>
  <si>
    <t>Yilmaz, Ahmet/0000-0001-6708-0672</t>
  </si>
  <si>
    <t>0167-577X</t>
  </si>
  <si>
    <t>1873-4979</t>
  </si>
  <si>
    <t>MATER LETT</t>
  </si>
  <si>
    <t>Mater. Lett.</t>
  </si>
  <si>
    <t>Materials Science, Multidisciplinary; Physics, Applied</t>
  </si>
  <si>
    <t>Materials Science; Physics</t>
  </si>
  <si>
    <t>LV9OC</t>
  </si>
  <si>
    <t>WOS:000538775600017</t>
  </si>
  <si>
    <t>ENVIRONMENTAL PROBLEMS CAUSED BY AGRICULTURAL WASTES RESULTING FROM GREENHOUSE AND HIGH TUNNEL CULTIVATION AND SOLUTION SUGGESTIONS</t>
  </si>
  <si>
    <t>This study was conducted to determine the utilization status of pollutant factors that are effective on the environment (plastic materials, chemical fertilizers and pesticide boxes, post-harvest wastes and drip irrigation laterals etc.) at the end of their lifetime resulting from the greenhouse and high tunnel cultivation, which has begun to develop in Kirsehir province. For this purpose, a survey was conducted in 10 greenhouses and 15 high tunnel cultivation enterprises. With the help of the information obtained through the survey, it was attempted to determine the possible effects of the agricultural wastes originating from the enterprises on the environment. In the research area, it was determined that some enterprises discarded some of the plant wastes that resulted from cover material, chemical fertilizer boxes, pesticide boxes and pruning away from the greenhouse and high tunnel environment by burning or leaving them in the field. On the other hand, it was observed that there is one enterprise which leaves the plastic cover material to the point of recycling and that only one enterprise utilizes the plant wastes possessing compostability feature. In the province where the greenhouse and high-tunnel cultivation is increasing day by day, it is necessary to set up appropriate collection areas in rural areas in which these enterprises are intensive, so that agricultural wastes, which constitute environmental and economic problems if not well managed, do not create a bigger environmental problem in the following years. Through providing necessary information and incentives on recycling the plastics and on the composting of plant wastes obtained from the wastes to be collected in these areas, the damages that agricultural wastes will pose on nature, soil and water resources will be minimized. In addition, the utilization of these wastes as an energy source and a secondary raw material is also very important in terms of the country's economy.</t>
  </si>
  <si>
    <t>Boyaci, S</t>
  </si>
  <si>
    <t>Boyaci, Sedat</t>
  </si>
  <si>
    <t>Agricultural waste; Waste management; Waste disposal; Environmental effect</t>
  </si>
  <si>
    <t>PLASTIC WASTE</t>
  </si>
  <si>
    <t>[Boyaci, Sedat] Ahi Evran Univ, Fac Agr, Dept Biosyst Engn, TR-40200 Kirsehir, Turkey</t>
  </si>
  <si>
    <t>Ahi Evran University</t>
  </si>
  <si>
    <t>Boyaci, S (corresponding author), Ahi Evran Univ, Fac Agr, Dept Biosyst Engn, TR-40200 Kirsehir, Turkey.</t>
  </si>
  <si>
    <t>sedat.boyaci@ahievran.edu.tr</t>
  </si>
  <si>
    <t>Ahi Evran University Scientific Research Projects Coordination Unit [ZRT.A4.17.003]</t>
  </si>
  <si>
    <t>Ahi Evran University Scientific Research Projects Coordination Unit(Ahi Evran University)</t>
  </si>
  <si>
    <t>This work was supported by the Ahi Evran University Scientific Research Projects Coordination Unit. Project Number ZRT.A4.17.003</t>
  </si>
  <si>
    <t>GD2ZS</t>
  </si>
  <si>
    <t>WOS:000430372900067</t>
  </si>
  <si>
    <t>New technical combination of seawater and ultrasound wave energy for excavation of highly plastic sticky clays in urban EPB tunneling</t>
  </si>
  <si>
    <t>In urban tunneling with an earth pressure balance-tunnel boring machine (EPB-TBM), highly plastic clays or sticky clay containing fine-grained sediments makes tunneling conditions more difficult. The proper amount and consistency of the ground conditioning chemicals to be used for the excavation of these difficult or complex geological units are also controversial. Due to the lack of proper management and optimization of such chemical foaming agents in accordance with the excavation material and tunneling method, some environmental impacts may occur. However, environmental pollution and its effects, in other words, the ecological costs emerged as a result of exposure to these chemicals, can sometimes be ignored. In this study, the use of seawater is proposed as a ground conditioning agent in EPB-TBM operations and the use in addition of ultrasound wave energy application on fine-grained and highly plastic sedimentary clays conditioned with seawater. Preliminary analyses and evaluations of the new eco-technical combination indicate that the seawater can easily compete with existing sodium-based foaming agent (SLES) on a laboratory scale by providing the required dispersive effect, which can be enhanced with ultrasonic applications.</t>
  </si>
  <si>
    <t>10.1007/s10064-019-01720-x</t>
  </si>
  <si>
    <t>Tokgoz, N</t>
  </si>
  <si>
    <t>Tokgoz, Nuray</t>
  </si>
  <si>
    <t>BULLETIN OF ENGINEERING GEOLOGY AND THE ENVIRONMENT</t>
  </si>
  <si>
    <t>Urban EPB tunneling; Highly plastic sticky clays; Seawater; Ultrasonic wave energy</t>
  </si>
  <si>
    <t>TBM; PERFORMANCE; CORROSION; WATER; ROCK</t>
  </si>
  <si>
    <t>[Tokgoz, Nuray] Istanbul Univ Cerrahpasa, Fac Engn, Min Engn Dept, TR-34320 Istanbul, Turkey</t>
  </si>
  <si>
    <t>Tokgoz, N (corresponding author), Istanbul Univ Cerrahpasa, Fac Engn, Min Engn Dept, TR-34320 Istanbul, Turkey.</t>
  </si>
  <si>
    <t>ntokgoz@istanbul.edu.tr</t>
  </si>
  <si>
    <t>Tokgöz, Nuray/D-6559-2019</t>
  </si>
  <si>
    <t>Tokgöz, Nuray/0000-0001-9905-5375</t>
  </si>
  <si>
    <t>Scientific and Technological Research Council of Turkey (TUBITAK) [214 M431]; TUBITAK</t>
  </si>
  <si>
    <t>Scientific and Technological Research Council of Turkey (TUBITAK)(Turkiye Bilimsel ve Teknolojik Arastirma Kurumu (TUBITAK)); TUBITAK(Turkiye Bilimsel ve Teknolojik Arastirma Kurumu (TUBITAK))</t>
  </si>
  <si>
    <t>A part of the research was supported within the scope of the Scientific and Technological Research Council of Turkey (TUBITAK) (Project no: 214 M431). The author would like to thank the TUBITAK for financial support. The author also is grateful to Professor M. Dogan Kantarci for his valuable and constructive suggestions. The author would like to express her sincere thanks to Professor Ergin Arioglu and Professor Nuh Bilgin for their valuable academic supports. The author also thanks to M.Sc. Irfan Serkan Binen, and Mining Eng. Yusufcan Yalciner their helps throughout this research.</t>
  </si>
  <si>
    <t>1435-9529</t>
  </si>
  <si>
    <t>1435-9537</t>
  </si>
  <si>
    <t>B ENG GEOL ENVIRON</t>
  </si>
  <si>
    <t>Bull. Eng. Geol. Environ.</t>
  </si>
  <si>
    <t>FEB 2020</t>
  </si>
  <si>
    <t>Engineering, Environmental; Engineering, Geological; Geosciences, Multidisciplinary</t>
  </si>
  <si>
    <t>Engineering; Geology</t>
  </si>
  <si>
    <t>MK3XL</t>
  </si>
  <si>
    <t>WOS:000510370300001</t>
  </si>
  <si>
    <t>The effects of plastic slatted floor and a deep- litter system on the growth performance of hybrid Pekin ducks</t>
  </si>
  <si>
    <t>This research was conducted to evaluate the effects of plastic slatted floors and a deep-litter system using wood shavings on the growth performance of current commercial hybrid Pekin ducks. A total of 96 Pekin ducks (Star 53) were reared for 42 d. Live weight, live-weight gain, feed consumption, feed conversion ratio, water consumption, and water / feed consumption ratio were investigated as the performance criteria. With the use of plastic slatted floors, the feed conversion rate dropped and the water / feed consumption ratio showed an incline (p&lt;0.05). This is a very favourable result for the poultry industry and growers. The remaining parameters did not change by altering the ground system (p&gt;0.05). Generally, it can be stated that plastic slatted floor use has advantages concerning the performance criteria of the feed consumption ratio and the water / feed consumption ratio in comparison to the deep-litter system. Furthermore, improvement in the feed conversion ratio is known to benefit the overall performance of poultry as well as having a positive economic impact. It should also be noted that as the birds grew, they were visually less stained, which is another important factor determining feather quality. However, this should be further investigated in future research.</t>
  </si>
  <si>
    <t>10.5194/aab-64-1-2021</t>
  </si>
  <si>
    <t>Eratalar, SA</t>
  </si>
  <si>
    <t>Eratalar, Sabri Arda</t>
  </si>
  <si>
    <t>ARCHIVES ANIMAL BREEDING</t>
  </si>
  <si>
    <t>PINE SHAVING LITTER; FOOT PAD DERMATITIS; GROWING TURKEYS; WELFARE; ENVIRONMENT; BEHAVIOR; HEN</t>
  </si>
  <si>
    <t>[Eratalar, Sabri Arda] Abant Izzet Baysal Univ, Poultry Sci Dept, Fac Agr, TR-14100 Bolu, Turkey</t>
  </si>
  <si>
    <t>Abant Izzet Baysal University</t>
  </si>
  <si>
    <t>Eratalar, SA (corresponding author), Abant Izzet Baysal Univ, Poultry Sci Dept, Fac Agr, TR-14100 Bolu, Turkey.</t>
  </si>
  <si>
    <t>ardaeratalar@ibu.edu.tr</t>
  </si>
  <si>
    <t>COPERNICUS GESELLSCHAFT MBH</t>
  </si>
  <si>
    <t>GOTTINGEN</t>
  </si>
  <si>
    <t>BAHNHOFSALLEE 1E, GOTTINGEN, 37081, GERMANY</t>
  </si>
  <si>
    <t>0003-9438</t>
  </si>
  <si>
    <t>2363-9822</t>
  </si>
  <si>
    <t>ARCH ANIM BREED</t>
  </si>
  <si>
    <t>Arch. Anim. Breed.</t>
  </si>
  <si>
    <t>JAN 4</t>
  </si>
  <si>
    <t>Agriculture, Dairy &amp; Animal Science</t>
  </si>
  <si>
    <t>Agriculture</t>
  </si>
  <si>
    <t>PQ7PH</t>
  </si>
  <si>
    <t>WOS:000606734700001</t>
  </si>
  <si>
    <t>Determination of some traces metal levels in cheese samples packaged in plastic and tin containers by ICP-OES after dry, wet and microwave digestion</t>
  </si>
  <si>
    <t>The concentrations of Cd, Co, Cr, Cu, Mn, Ni, Pb, Se and Zn in cheese samples packaged in plastic and tin containers were analyzed using inductively coupled plasma-optical emission spectrometry after microwave, wet and dry digestion processes. In order to evaluate the best digestion method, the relationships between the concentrations of trace metals in cheese samples after microwave digestion was compared by wet and dry ashings. Microwave digestion was found fast, reliable, simple, and excellent procedure in comparison with dry and wet ashing methods. The accuracy of the digestion procedures was determined by using standard reference material (GBW 07605-Tea). The order of levels of the elements in the white cheese samples packaged in tin containers was determined to be Cd &lt; Co &lt; Mn &lt; Cr &lt; Se &lt; Pb &lt; Cu &lt; Ni &lt; Zn, after microwave digestion and cream cheese samples in plastic containers Cd &lt; Mn &lt; Co &lt; Cr &lt; Se &lt; Pb &lt; Ni &lt; Cu &lt; Zn, respectively. There were considerable differences among of the studied element contents of cheese samples packaged in tin and plastic containers, indicating that cheese types and packaging materials play a key role in the content of trace metal. (C) 2010 Elsevier Ltd. All rights reserved.</t>
  </si>
  <si>
    <t>10.1016/j.fct.2010.10.017</t>
  </si>
  <si>
    <t>Bakircioglu, D; Kurtulus, YB; Ucar, G</t>
  </si>
  <si>
    <t>Bakircioglu, Dilek; Kurtulus, Yasemin Bakircioglu; Ucar, Gokhan</t>
  </si>
  <si>
    <t>Cheese; Dry ashing; Wet ashing; Microwave digestion; Trace metal; Inductively coupled plasma-optical emission spectrometry</t>
  </si>
  <si>
    <t>ELEMENT CONTENTS; DAIRY-PRODUCTS; HEAVY-METALS; WHITE CHEESE; MILK; FOOD; SELENIUM; CADMIUM; COPPER; NICKEL</t>
  </si>
  <si>
    <t>[Bakircioglu, Dilek; Kurtulus, Yasemin Bakircioglu; Ucar, Gokhan] Trakya Univ, Fac Sci, Dept Chem, TR-22030 Edirne, Turkey</t>
  </si>
  <si>
    <t>Trakya University</t>
  </si>
  <si>
    <t>Bakircioglu, D (corresponding author), Trakya Univ, Fac Sci, Dept Chem, TR-22030 Edirne, Turkey.</t>
  </si>
  <si>
    <t>dbakircioglu@trakya.edu.tr</t>
  </si>
  <si>
    <t>Kurtulus, Yasemin Bakircioglu/Q-2570-2017; Bakircioglu, Dilek/Q-2648-2017</t>
  </si>
  <si>
    <t>Kurtulus, Yasemin Bakircioglu/0000-0003-3013-5793; Bakircioglu, Dilek/0000-0003-3384-0340</t>
  </si>
  <si>
    <t>717OE</t>
  </si>
  <si>
    <t>WOS:000287056500028</t>
  </si>
  <si>
    <t>Occurrence of Microplastics in Herpetological Museum Collection: Grass Snake (Natrix natrix [Linnaeus, 1758]) and Dice Snake (Natrix tessellata [Laurenti, 1769]) as Model Organisms</t>
  </si>
  <si>
    <t>Microplastics are plastic fragments with a size less than 5 mm in length. In addition to a threat to the marine environments where these are abundantly present, these have also started polluting freshwater ecosystems. However, the uptake of microplastics by living organisms differs depending on their habitats and feeding behaviors. We investigated the presence, size, type, and color of microplastics in the gastrointestinal tract contents of two water snakes, namely Natrix natrix and Natrix tessellata. The snakes were collected from different regions of Turkey and preserved as museum materials. Our results showed that fibers constituted the predominant polymer type in both snake species (94.7% for N. natrix and 87.9% for N. tessellata), whose dimensions ranged from 250 to 3750 mu m. We did not find any significant difference in the number of microplastics ingested between the two species. In addition, the uptake of microplastics did not relate to the size and weight of snakes. Microplastics were not consistently present all years, and similarly, these were not detected in all samples within the distribution area. These results could be attributed to the environment and diet of two snake species.</t>
  </si>
  <si>
    <t>10.1007/s11270-022-05626-5</t>
  </si>
  <si>
    <t>Gul, S; Karaoglu, K; Ozcifci, Z; Candan, K; Ilgaz, C; Kumlutas, Y</t>
  </si>
  <si>
    <t>Gul, Serkan; Karaoglu, Kaan; Ozcifci, Zehra; Candan, Kamil; Ilgaz, Cetin; Kumlutas, Yusuf</t>
  </si>
  <si>
    <t>Aquatic; Microplastics; Pollution; Pollutant; Terrestrial; Vertebrate; Water snakes</t>
  </si>
  <si>
    <t>LOGGERHEAD SEA-TURTLES; PLASTIC INGESTION; FRESH-WATER; ACCUMULATION; POLLUTION; NORTHEAST; TADPOLES; DEBRIS; SIZE</t>
  </si>
  <si>
    <t>[Gul, Serkan] Recep Tayyip Erdogan Univ, Fac Arts &amp; Sci, Dept Biol, TR-53100 Rize, Turkey; [Karaoglu, Kaan] Recep Tayyip Erdogan Univ, Vocat Sch Tech Sci, Dept Chem &amp; Chem Proc Technol, TR-53100 Rize, Turkey; [Ozcifci, Zehra] Recep Tayyip Erdogan Univ, Fac Arts &amp; Sci, Dept Chem, TR-53100 Rize, Turkey; [Candan, Kamil; Ilgaz, Cetin; Kumlutas, Yusuf] Dokuz Eylul Univ, Fac Sci, Dept Biol, TR-35390 Izmir, Turkey; [Candan, Kamil; Ilgaz, Cetin; Kumlutas, Yusuf] Dokuz Eylul Univ, Fauna &amp; Flora Res &amp; Applicat Ctr, TR-35390 Izmir, Turkey</t>
  </si>
  <si>
    <t>Recep Tayyip Erdogan University; Recep Tayyip Erdogan University; Recep Tayyip Erdogan University; Dokuz Eylul University; Dokuz Eylul University</t>
  </si>
  <si>
    <t>ÖZÇİFÇİ, Zehra/HJI-1678-2023; KUMLUTAŞ, Yusuf/P-4722-2019; KARAOGLU, Kaan/A-7859-2015</t>
  </si>
  <si>
    <t>ÖZÇİFÇİ, Zehra/0000-0001-8218-7136; KARAOGLU, Kaan/0000-0003-3265-8328; gul, serkan/0000-0002-0372-7462</t>
  </si>
  <si>
    <t>0Z9KE</t>
  </si>
  <si>
    <t>WOS:000791387500001</t>
  </si>
  <si>
    <t>Co-combustion, life-cycle circularity, and artificial intelligence-based multi-objective optimization of two plastics and textile dyeing sludge</t>
  </si>
  <si>
    <t>Given the globally abundant availability of waste plastics and the negative environmental impacts of textile dyeing sludge (TDS), their co-combustion can effectively enhance the circular economies, energy recovery, and environmental pollution control. The (co-)combustion performances, gas emissions, and ashes of TDS and two plastics of polypropylene (PP) and polyethylene (PE) were quantified and characterized. The increased blend ratio of PP and PE improved the ignition, burnout, and comprehensive combustion indices. The two plastics interacted with TDS significantly in the range of 200-600 degrees C. TDS pre-ignited the combustion of the plastics which in turn promoted the combustion of TDS. The co-combustions released more CO2 but less CH4, C-H, and C--O as CO2 was less persistent than the others in the atmosphere. The Ca-based minerals in the plastics enhanced S-fixation and reduced SO2 emission. The activation energy of the co-combustion fell from 126.78 to 111.85 kJ/mol and 133.71-79.91 kJ/mol when the PE and PP additions rose from 10% to 50%, respectively. The co-combustion reaction mechanism was best described by the model of f(alpha) = (1-alpha)n. The reaction order was reduced with the additions of the plastics. The co-combustion operation interactions were optimized via an artificial neural network so as to jointly meet the multiple objectives of maximum energy production and minimum emissions.</t>
  </si>
  <si>
    <t>10.1016/j.jhazmat.2021.128069</t>
  </si>
  <si>
    <t>Ding, ZY; Chen, ZH; Liu, JY; Evrendilek, F; He, Y; Xie, WM</t>
  </si>
  <si>
    <t>Ding, Ziyi; Chen, Zihong; Liu, Jingyong; Evrendilek, Fatih; He, Yao; Xie, Wuming</t>
  </si>
  <si>
    <t>Polyolefin plastics; Pollution control; Gas emissions; Ash components; Energy recovery</t>
  </si>
  <si>
    <t>SEWAGE-SLUDGE; REACTION-MECHANISM; WATER HYACINTH; COMBUSTION; KINETICS; PYROLYSIS; COAL; (CO-)COMBUSTION; DECOMPOSITION; GASIFICATION</t>
  </si>
  <si>
    <t>[Ding, Ziyi; Chen, Zihong; Liu, Jingyong; He, Yao; Xie, Wuming] Guangdong Univ Technol, Sch Environm Sci &amp; Engn, Guangzhou 510006, Peoples R China; [Evrendilek, Fatih] Abant Izzet Baysal Univ, Dept Environm Engn, TR-14052 Bolu, Turkey</t>
  </si>
  <si>
    <t>Guangdong University of Technology; Abant Izzet Baysal University</t>
  </si>
  <si>
    <t>Liu, JY (corresponding author), Guangdong Univ Technol, Sch Environm Sci &amp; Engn, Guangzhou 510006, Peoples R China.</t>
  </si>
  <si>
    <t>Liujy@gdut.edu.cn</t>
  </si>
  <si>
    <t>Evrendilek, Fatih/O-2424-2013; Chen, Zihong/IUX-0024-2023; Evrendilek, Fatih/AAL-9010-2020</t>
  </si>
  <si>
    <t>Evrendilek, Fatih/0000-0003-1099-4363; Evrendilek, Fatih/0000-0003-1099-4363</t>
  </si>
  <si>
    <t>National Natural Science Foundation of China [51978175]; Scientific and Technological Planning Project of Guangzhou, China [202103000004]; Science and Technology Planning Project of Yunfu, Guangdong Province, China [2020040401]</t>
  </si>
  <si>
    <t>National Natural Science Foundation of China(National Natural Science Foundation of China (NSFC)); Scientific and Technological Planning Project of Guangzhou, China; Science and Technology Planning Project of Yunfu, Guangdong Province, China</t>
  </si>
  <si>
    <t>This research was financially supported by the National Natural Science Foundation of China (No. 51978175), the Scientific and Technological Planning Project of Guangzhou, China (No. 202103000004), and the Science and Technology Planning Project of Yunfu, Guangdong Province, China (No. 2020040401).</t>
  </si>
  <si>
    <t>YV1DS</t>
  </si>
  <si>
    <t>WOS:000752473200004</t>
  </si>
  <si>
    <t>Drivers of litter ingestion by sea turtles: Three decades of empirical data collected in Atlantic Europe and the Mediterranean</t>
  </si>
  <si>
    <t>Sea turtles are considered as bio-indicators for monitoring the efficiency of restoration measures to reduce marine litter impacts on health. However, the lack of extended and standardised empirical data has prevented the accurate analysis of the factors influencing litter ingestion and the relationships with individual health. Historic data collected from 1988 and standard data collected from 2016 were harmonised to enable such analyses on necropsied loggerhead turtles (Caretta caretta) in eight Mediterranean and North-East Atlantic countries. Litter was found in 69.24 % of the 1121 individuals, mostly single-use and fishing-related plastics. Spatial location, sex and life history stage explained a minor part of litter ingestion. While no relationships with health could be detected, indicating that all individuals can be integrated as bio-indicators, the mechanistic models published in literature suggest that the high proportion of plastics in the digestive contents (38.77 % per individual) could have long-term repercussions on population dynamics.</t>
  </si>
  <si>
    <t>10.1016/j.marpolbul.2022.114364</t>
  </si>
  <si>
    <t>Darmon, G; Schulz, M; Matiddi, M; Loza, AL; Tomas, J; Camedda, A; Chaieb, O; Hili, HAE; Bradai, MN; Bray, L; Claro, F; Dellinger, T; Dell'Amico, F; Lucia, GAD; Duncan, EMM; Gambaiani, D; Godley, B; Kaberi, H; Kaska, Y; Martin, J; Moreira, C; Ostiategui, P; Pham, CK; Piermarini, R; Revuelta, O; Rodriguez, Y; Silvestri, C; Snape, R; Sozbilen, D; Tsangaris, C; Vale, M; Vandeperre, F; Miaud, C</t>
  </si>
  <si>
    <t>Darmon, Gaelle; Schulz, Marcus; Matiddi, Marco; Loza, Ana Liria; Tomas, Jesus; Camedda, Andrea; Chaieb, Olfa; Hili, Hedia A. El; Bradai, Mohamed N.; Bray, Laura; Claro, Francoise; Dellinger, Thomas; Dell'Amico, Florence; Lucia, Giuseppe A. de; Duncan, Emily M. M.; Gambaiani, Delphine; Godley, Brendan; Kaberi, Helen; Kaska, Yakup; Martin, Jessica; Moreira, Claudia; Ostiategui, Patricia; Pham, Christopher K.; Piermarini, Raffaella; Revuelta, Ohiana; Rodriguez, Yasmina; Silvestri, Cecilia; Snape, Robin; Sozbilen, Dogan; Tsangaris, Catherine; Vale, Maria; Vandeperre, Frederic; Miaud, Claude</t>
  </si>
  <si>
    <t>Marine litter impacts; Bio-indicator; Standard monitoring; Body condition; Health assessment</t>
  </si>
  <si>
    <t>MARINE DEBRIS INGESTION; BAJA-CALIFORNIA-SUR; CARETTA-CARETTA; PLASTIC INGESTION; FORAGING ECOLOGY; CHELONIA-MYDAS; BEHAVIOR</t>
  </si>
  <si>
    <t>[Darmon, Gaelle; Martin, Jessica; Miaud, Claude] EPHE PSL Univ, Univ Montpellier, CEFE, CNRS, Montpellier, France; [Schulz, Marcus] AquaEcol GmbH &amp; Co KG, AquaEcol, Steinkamp 19, D-26125 Oldenburg, Germany; [Matiddi, Marco; Piermarini, Raffaella; Silvestri, Cecilia] Italian Natl Inst Environm Protect &amp; Res ISPRA, Nekton Lab, Via Castel Romano 100, I-00144 Rome, RM, Italy; [Loza, Ana Liria; Ostiategui, Patricia] Univ Palmas Gran Canaria, EcoAqua Univ Inst, Telde 35214, Las Palmas, Spain; [Martin, Jessica] Univ Valencia, Cavanilles Inst Biodivers &amp; Evolutionary Biol, Marine Zool Unit, UVEG, Valencia, Spain; [Camedda, Andrea; Lucia, Giuseppe A. de] Inst Coastal Marine Environm Natl Res Council IAS, Inst Anthrop Impacts &amp; Sustainabil marine Environ, Inst Anthrop Impact, Natl Res Council,Inst Anthrop Impact,Sustainabil, I-09170 Oristano, Italy; [Chaieb, Olfa; Bradai, Mohamed N.] Tunisian Natl Inst Sci &amp; Technol Sea, 28 Rue 2 Mars 1934, Salammbo 2025, Tunisia; [Hili, Hedia A. El] Natl Ctr wildlife Hlth monitoring, Ctr Natl Veille Zoosanit, Tunis, Tunisia; [Bray, Laura; Kaberi, Helen; Tsangaris, Catherine] Inst Oceanog, Hellen Ctr Marine Res HCMR, 46-7 km Athinon Souniou Ave, Anavyssos 19013, Greece; [Claro, Francoise] Natl museum Nat Hist, CNRS, MNHN, UMS,OFB, F-75005 Paris, Azores, France; [Dellinger, Thomas] Univ Madeira, Estacao Biol Marinha Funchal, Madeira 9000, Portugal; [Dellinger, Thomas] Ctr Invest Biodiversidade &amp; Recursos Genet CIBIO, P-4485661 Madeira, Portugal; [Dell'Amico, Florence] Ctr Etud &amp; soins tortues marines CESTM Aquarium R, Quai Louis Prunier, F-17000 La Rochelle, France; [Duncan, Emily M. M.; Godley, Brendan; Snape, Robin] Univ Exeter, Ctr Ecol &amp; Conservat, Marine Turtle Res Grp, Penryn, Cornwall, England; [Gambaiani, Delphine] Conservat Mediterranean Sea Turtles, CESTMED Ctr Study, Ave Palais Mer, F-30240 Le Grau Du Roi, France; [Kaska, Yakup; Sozbilen, Dogan] Pamukkale Univ, Fac Arts &amp; Sci, Dept Biol, Denizli, Turkey; [Moreira, Claudia] Univ Coimbra, MARE Marine &amp; Environm Sci Ctr, Dept Life Sci, P-3004517 Coimbra, Portugal; [Rodriguez, Yasmina; Vandeperre, Frederic] Univ Acores, Ocean Sci Inst OKEANOS, MARE Marine &amp; Environm Sci Ctr, P-9900138 Horta, Portugal</t>
  </si>
  <si>
    <t>UDICE-French Research Universities; Universite PSL; Ecole Pratique des Hautes Etudes (EPHE); Institut Agro; Montpellier SupAgro; CIRAD; Centre National de la Recherche Scientifique (CNRS); Institut de Recherche pour le Developpement (IRD); Universite Paul-Valery; Universite de Montpellier; Italian Institute for Environmental Protection &amp; Research (ISPRA); Universidad de Las Palmas de Gran Canaria; University of Valencia; Hellenic Centre for Marine Research; Centre National de la Recherche Scientifique (CNRS); Museum National d'Histoire Naturelle (MNHN); Office Francais de la Biodiversite OFB; Universidade da Madeira; University of Exeter; Pamukkale University; Universidade de Coimbra; Universidade dos Acores</t>
  </si>
  <si>
    <t>Darmon, G (corresponding author), EPHE PSL Univ, Univ Montpellier, CEFE, CNRS, Montpellier, France.</t>
  </si>
  <si>
    <t>gaelle.darmon@ecomail.fr</t>
  </si>
  <si>
    <t>Godley, Brendan J/A-6139-2009; Vale, Maria/B-6140-2015; Sözbilen, Doğan/ABB-6767-2020; Camedda, Andrea AC/P-8328-2018</t>
  </si>
  <si>
    <t>Godley, Brendan J/0000-0003-3845-0034; Vale, Maria/0000-0002-1390-1778; Sözbilen, Doğan/0000-0002-2267-1636; Camedda, Andrea AC/0000-0002-6837-5680; Piermarini, Raffaella/0000-0001-7127-9027; Silvestri, Cecilia/0000-0001-9901-6755; Vandeperre, Frederic/0000-0002-3947-6917</t>
  </si>
  <si>
    <t>INDICIT (Indicator Impact Turtle 2017-2019) European project [11.0661/2016/748064/SUB/ENV.C2]; INDICIT II (Indicator Impact Taxa, 2019-2021) European project [11.0661/2016/748064/SUB/ENV.C2]; European Commission</t>
  </si>
  <si>
    <t>INDICIT (Indicator Impact Turtle 2017-2019) European project; INDICIT II (Indicator Impact Taxa, 2019-2021) European project; European Commission(European Union (EU)European Commission Joint Research Centre)</t>
  </si>
  <si>
    <t>This study is part of the INDICIT (Indicator Impact Turtle 2017-2019, no11.0661/2016/748064/SUB/ENV.C2) and INDICIT II (Indicator Impact Taxa, 2019-2021, no110661/2018/794561/SUB/ENV.C2) European projects. We are grateful to all stakeholders working in the field who have brought sea turtles, especially rescue centres, stranding networks and fishermen. We thank all the experts who took part in collecting data, improving the protocols, giving an advice on the parameters to measure. We also express our gratitude to the members of the INDICIT I and II External Advisory Board for their support and useful advice. We warmly thank the European Commission for its financial support to implement the INDICIT and INDICIT II projects. We also sincerely thank the reviewers whose comments enabled a clear improvement of the article.</t>
  </si>
  <si>
    <t>8H6UY</t>
  </si>
  <si>
    <t>WOS:000921167800003</t>
  </si>
  <si>
    <t>NUMERICAL AND EXPERIMENTAL ANALYSIS OF LONGITUDINAL TUBULAR SOLAR AIR HEATERS MADE FROM PLASTIC AND METAL WASTE MATERIALS</t>
  </si>
  <si>
    <t>Recycling and reusing waste materials not only reduces environmental pollution but also contributes to the reduction of health problems and economic gain. In this study, plastic and metal materials reused in fabricating solar air heaters (SAHs) are considered. Accordingly, two tubular solar air heaters have been designed, fabricated, and experimented. The major objective of this work is to demonstrate the importance of utilizing waste materials in renewable energy-based technologies and their applicability in thermal energy production. In the first step of the analysis, the applicability of tubular-type SAHs has been studied numerically. The experiments have been conducted at two tilt angles including 90 degrees and 32 degrees and also at three flow rates including 0.012, 0.010, and 0.008 kg/s. The experimental findings showed that the efficiency of metal SAH and plastic SAH varied in the range of 36.33-50.96% and 31.60-47.06%, respectively. Also, enviro-economic costs for metal and plastic SAH were achieved as 8.02 and 7.55 $/year. Besides, the experimental results were predicted with ANN and SVM algorithms. The prediction success of the algorithms is discussed with four metrics (R-2, MAPE, RMSE, and MBE). The outcomes clearly demonstrate the successful application of this simple and cost-effective tubular-type SAH manufactured from waste materials.</t>
  </si>
  <si>
    <t>Khanlari, A; Sozen, A; Tuncer, AD; Afshari, F; Gurbuz, EY; Bilge, YC</t>
  </si>
  <si>
    <t>Khanlari, Ataollah; Sozen, Adnan; Tuncer, Azim Dogus; Afshari, Faraz; Gurbuz, Emine Yagiz; Bilge, Yasar Can</t>
  </si>
  <si>
    <t>HEAT TRANSFER RESEARCH</t>
  </si>
  <si>
    <t>solar air heater; waste material; reusing; enviro-economic analysis; modeling</t>
  </si>
  <si>
    <t>DOUBLE-PASS; THERMAL PERFORMANCE; FLAT-PLATE; EXERGY; ENERGY; DESIGN; COLLECTOR; SYSTEM; DRYER; FLOW</t>
  </si>
  <si>
    <t>[Khanlari, Ataollah] Univ Turkish Aeronaut Assoc, Mech Engn, Ankara, Turkey; [Sozen, Adnan] Gazi Univ, Energy Syst Engn, Ankara, Turkey; [Tuncer, Azim Dogus; Bilge, Yasar Can] Burdur Mehmet Akif Ersoy Univ, Energy Syst Engn, Burdur, Turkey; [Tuncer, Azim Dogus; Gurbuz, Emine Yagiz] Gazi Univ, Nat &amp; Appl Sci Inst, Ankara, Turkey; [Afshari, Faraz] Erzurum Tech Univ, Mech Engn, Erzurum, Turkey; [Gurbuz, Emine Yagiz] Mugla Sitki Kocman Univ, Energy Syst Engn, Mugla, Turkey</t>
  </si>
  <si>
    <t>Turk Hava Kurumu University; Turkish Aeronautical Association; Gazi University; Mehmet Akif Ersoy University; Gazi University; Erzurum Technical University; Mugla Sitki Kocman University</t>
  </si>
  <si>
    <t>Khanlari, A (corresponding author), Univ Turkish Aeronaut Assoc, Mech Engn, Ankara, Turkey.</t>
  </si>
  <si>
    <t>ata_khanlari@yahoo.com</t>
  </si>
  <si>
    <t>Afshari, Faraz/AGP-8920-2022; Afshari, Faraz/L-1544-2019</t>
  </si>
  <si>
    <t>Afshari, Faraz/0000-0001-9192-5604; Afshari, Faraz/0000-0001-9192-5604; Tuncer, Azim Dogus/0000-0002-8098-6417</t>
  </si>
  <si>
    <t>BEGELL HOUSE INC</t>
  </si>
  <si>
    <t>DANBURY</t>
  </si>
  <si>
    <t>50 NORTH ST, DANBURY, CT 06810 USA</t>
  </si>
  <si>
    <t>1064-2285</t>
  </si>
  <si>
    <t>2162-6561</t>
  </si>
  <si>
    <t>HEAT TRANSF RES</t>
  </si>
  <si>
    <t>Heat Transf. Res.</t>
  </si>
  <si>
    <t>Thermodynamics</t>
  </si>
  <si>
    <t>TS7KU</t>
  </si>
  <si>
    <t>WOS:000679826300002</t>
  </si>
  <si>
    <t>Time to kick the butt of the most common litter item in the world: Ban cigarette filters</t>
  </si>
  <si>
    <t>Cigarette filters offer no public health benefits, are single-use plastics (cellulose acetate) and are routinely littered. Filters account for a significant proportion of plastic litter worldwide, requiring considerable public funds to remove, and are a source of microplastics. Used cigarette filters can leech toxic chemicals and pose an ecological risk to both terrestrial and aquatic ecosystems. Bottom-up measures, such as focusing on consumer behaviour, are ineffective and we need to impose top-down solutions (i.e., bans) if we are to reduce the prevalence of this number one litter item. Banning filters offers numerous ecological, socioeconomic, and public health benefits.</t>
  </si>
  <si>
    <t>10.1016/j.scitotenv.2022.161256</t>
  </si>
  <si>
    <t>Green, DS; Almroth, BC; Altman, R; Bergmann, M; Gundogdu, S; Warrier, AK; Boots, B; Walker, TR; Krieger, A; Syberg, K</t>
  </si>
  <si>
    <t>Green, Dannielle S.; Almroth, Bethanie Carney; Altman, Rebecca; Bergmann, Melanie; Gundogdu, Sedat; Warrier, Anish Kumar; Boots, Bas; Walker, Tony R.; Krieger, Anja; Syberg, Kristian</t>
  </si>
  <si>
    <t>Cigarette filters; Cellulose acetate; Single -use plastics; Ecological risk; Planetary boundaries; Plastics treaty</t>
  </si>
  <si>
    <t>TOXICITY</t>
  </si>
  <si>
    <t>[Green, Dannielle S.; Boots, Bas] Anglia Ruskin Univ, Sch Life Sci, Appl Ecol Res Grp, Cambridge CB1 1PT, England; [Almroth, Bethanie Carney] Univ Gothenburg, Dept Biol &amp; Environm Sci, Box 463, S-40530 Gothenburg, Sweden; [Bergmann, Melanie] Helmholtz Ctr Polar &amp; Marine Res, HGF MPG Grp Deep Sea Ecol &amp; Technol, Alfred Wegener Inst, D-27568 Bremerhaven, Germany; [Gundogdu, Sedat] Cukurova Univ, Fac Fisheries, TR-01330 Adana, Turkiye; [Warrier, Anish Kumar] Manipal Acad Higher Educ, Ctr Climate Studies, Manipal 576104, Karnataka, India; [Walker, Tony R.] Dalhousie Univ, Sch Resource &amp; Environm Studies, Halifax, NS, Canada; [Syberg, Kristian] Roskilde Univ, Dept Sci &amp; Environm, DK-4000 Roskilde, Denmark</t>
  </si>
  <si>
    <t>Anglia Ruskin University; University of Gothenburg; Helmholtz Association; Alfred Wegener Institute, Helmholtz Centre for Polar &amp; Marine Research; Cukurova University; Manipal Academy of Higher Education (MAHE); Dalhousie University; Roskilde University</t>
  </si>
  <si>
    <t>Syberg, K (corresponding author), Roskilde Univ, Dept Sci &amp; Environm, DK-4000 Roskilde, Denmark.</t>
  </si>
  <si>
    <t>ksybeg@ruc.dk</t>
  </si>
  <si>
    <t>Bergmann, Melanie/H-3347-2015</t>
  </si>
  <si>
    <t>Bergmann, Melanie/0000-0001-5212-9808; Syberg, Kristian/0000-0001-5914-7427</t>
  </si>
  <si>
    <t>MAR 20</t>
  </si>
  <si>
    <t>J3PH1</t>
  </si>
  <si>
    <t>hybrid, Green Accepted, Green Submitted</t>
  </si>
  <si>
    <t>WOS:001008759500001</t>
  </si>
  <si>
    <t>A Novel Approach for Monitoring Plastic Flow Localization during In-Situ Sem Testing of Small-Scale Samples</t>
  </si>
  <si>
    <t>A novel method is proposed for monitoring the plastic flow localization during in-situ scanning electron microscopy (SEM) testing of small-scale AISI 316 L stainless steel. Stress-strain behavior of the material was obtained using a hybrid numerical-experimental (HNE) approach. By repeatedly illustrating each pair of sequentially taken SEM surface images throughout the deformation history in alternating order in form of a video, location of the material points which are not moving during the deformation can be detected. At the initial stages of deformation these points are located on the geometrical symmetry line of the test sample, however; when uniform straining limit of the material is reached, the locations of the stationary material points reveal the plastic localization regions. The current results clearly prove the feasibility of the presented method in monitoring primary plastic localization events through in-situ SEM tensile testing.</t>
  </si>
  <si>
    <t>10.1007/s40799-017-0212-3</t>
  </si>
  <si>
    <t>Mirzajanzadeh, M; Canadinc, D; Niendorf, T; Weidner, A</t>
  </si>
  <si>
    <t>Mirzajanzadeh, M.; Canadinc, D.; Niendorf, T.; Weidner, A.</t>
  </si>
  <si>
    <t>EXPERIMENTAL TECHNIQUES</t>
  </si>
  <si>
    <t>Plastic flow localization; In-situ SEM; Microstructure; Ductile fracture; Small scale testing</t>
  </si>
  <si>
    <t>SCANNING-ELECTRON-MICROSCOPY; LARGE-DEFORMATION MEASUREMENTS; X-RAY TOMOGRAPHY; VOID GROWTH; STRAIN LOCALIZATION; QUANTITATIVE SMALL; DUCTILE FRACTURE; COALESCENCE; MODEL; MAGNIFICATIONS</t>
  </si>
  <si>
    <t>[Mirzajanzadeh, M.; Canadinc, D.] Koc Univ, Dept Mech Engn, AMG, TR-34450 Istanbul, Turkey; [Canadinc, D.] Koc Univ, Surface Sci &amp; Technol Ctr KUYTAM, TR-34450 Istanbul, Turkey; [Niendorf, T.] Univ Kassel, Inst Mat Engn, Inst Werkstofftech, D-34125 Kassel, Germany; [Weidner, A.] Tech Univ Bergakad Freiberg, Inst Mat Engn, D-09599 Freiberg, Germany</t>
  </si>
  <si>
    <t>Koc University; Koc University; Universitat Kassel; Technical University Freiberg</t>
  </si>
  <si>
    <t>Canadinc, D (corresponding author), Koc Univ, Dept Mech Engn, AMG, TR-34450 Istanbul, Turkey.;Canadinc, D (corresponding author), Koc Univ, Surface Sci &amp; Technol Ctr KUYTAM, TR-34450 Istanbul, Turkey.</t>
  </si>
  <si>
    <t>dcanadinc@ku.edu.tr</t>
  </si>
  <si>
    <t>Niendorf, Thoralf/H-7738-2013</t>
  </si>
  <si>
    <t>Niendorf, Thoralf/0000-0001-7584-6527; Weidner, Anja/0000-0002-6432-902X; Niendorf, Thomas/0000-0003-2622-5817; Canadinc, Demircan/0000-0001-9961-7702; Mirzajanzadeh, Morad/0000-0003-3948-2783</t>
  </si>
  <si>
    <t>Koc University Graduate School of Sciences and Engineering; Institute of Materials Engineering, Technische Universitat Bergakademie Freiberg, Freiberg, Germany;  [CRC 799]</t>
  </si>
  <si>
    <t xml:space="preserve">Koc University Graduate School of Sciences and Engineering; Institute of Materials Engineering, Technische Universitat Bergakademie Freiberg, Freiberg, Germany; </t>
  </si>
  <si>
    <t>Financial supports by Koc University Graduate School of Sciences and Engineering; Institute of Materials Engineering, Technische Universitat Bergakademie Freiberg, Freiberg, Germany; and the CRC 799 subproject B5 are gratefully acknowledged. AW acknowledges Dr. Jiri Man of the Institute of Physics of Materials Brno (IMP, Czech Academy of Science Brno) for providing the 316 L steel.</t>
  </si>
  <si>
    <t>0732-8818</t>
  </si>
  <si>
    <t>1747-1567</t>
  </si>
  <si>
    <t>EXP TECHNIQUES</t>
  </si>
  <si>
    <t>Exp. Tech.</t>
  </si>
  <si>
    <t>Engineering, Mechanical; Mechanics; Materials Science, Characterization &amp; Testing</t>
  </si>
  <si>
    <t>Engineering; Mechanics; Materials Science</t>
  </si>
  <si>
    <t>GF9PC</t>
  </si>
  <si>
    <t>WOS:000432309300005</t>
  </si>
  <si>
    <t>Insidious Onset of Localised Small Intestinal Perforation by Ingested Plastic Fork</t>
  </si>
  <si>
    <t>Ingestion of a foreign body is generally observed in the psychiatric patients and children. Healthy adult individuals may also swallow a foreign body unintentionally. Here, we report a case of a patient who swallowed a plastic fork and treated with laparo-scopic repair. A 46-year man was admitted to the emergency room with the abdominal pain. His physical evaluation and diag-nostic imaging revealed free air in the abdomen. Further imaging with CT scan showed a foreign body in the proximal ileum. On taking details of his swallowing history, he remembered swallowing a broken part of a plastic fork unwittingly during dinner. Following the removal of the foreign body, the perforation area was primarily repaired in double layers. The postoperative course was uneventful. An accurate diagnosis of the small intestinal perforation caused by the ingested foreign bodies, particu-larly in cases where the patient is unaware of the ingestion, can be difficult. CT scan is a useful tool when available to establish the diagnosis before the surgical intervention.</t>
  </si>
  <si>
    <t>10.29271/jcpsp.2022.08.1070</t>
  </si>
  <si>
    <t>Yilmaz, S; Aydin, H; Bolukbasi, H</t>
  </si>
  <si>
    <t>Yilmaz, Serhan; Aydin, Husnu; Bolukbasi, Hakan</t>
  </si>
  <si>
    <t>JCPSP-JOURNAL OF THE COLLEGE OF PHYSICIANS AND SURGEONS PAKISTAN</t>
  </si>
  <si>
    <t>Small intestine; Perforation; Foreign body; Laparoscopic surgery</t>
  </si>
  <si>
    <t>[Yilmaz, Serhan; Bolukbasi, Hakan] Univ Hlth Sci, Kanuni Sultan Suleyman Training &amp; Res Hosp, Dept Gen Surg, Istanbul, Turkey; [Aydin, Husnu] Univ Hlth Sci, Bakirkoy Sadi Konuk Training &amp; Res Hosp, Dept Gen Surg, Istanbul, Turkey</t>
  </si>
  <si>
    <t>Istanbul Kanuni Sultan Suleyman Training &amp; Research Hospital; University of Health Sciences Turkey; Bakirkoy Dr. Sadi Konuk Research &amp; Training Hospital; University of Health Sciences Turkey</t>
  </si>
  <si>
    <t>Bolukbasi, H (corresponding author), Univ Hlth Sci, Kanuni Sultan Suleyman Training &amp; Res Hosp, Minist Hlth, Istanbul, Turkey.</t>
  </si>
  <si>
    <t>hakan.bolukbasi@saglik.gov.tr</t>
  </si>
  <si>
    <t>Aydın, Husnu/AAA-3053-2020; yılmaz, serhan/AAO-2428-2021; bolukbasi, hakan/AAN-8545-2021</t>
  </si>
  <si>
    <t xml:space="preserve">Aydın, Husnu/0000-0002-3364-3649; yılmaz, serhan/0000-0002-5612-5932; </t>
  </si>
  <si>
    <t>COLL PHYSICIANS &amp; SURGEONS PAKISTAN</t>
  </si>
  <si>
    <t>SEVENTH CENTRAL ST, DEFENCE HOUSING AUTHORITY, KARACHI, 75500, PAKISTAN</t>
  </si>
  <si>
    <t>1022-386X</t>
  </si>
  <si>
    <t>1681-7168</t>
  </si>
  <si>
    <t>JCPSP-J COLL PHYSICI</t>
  </si>
  <si>
    <t>JCPSP-J. Coll. Physicians Surg.</t>
  </si>
  <si>
    <t>Medicine, General &amp; Internal</t>
  </si>
  <si>
    <t>General &amp; Internal Medicine</t>
  </si>
  <si>
    <t>3U8YU</t>
  </si>
  <si>
    <t>WOS:000841251300023</t>
  </si>
  <si>
    <t>Effects of sample temperature and storage time on arterial blood gases values</t>
  </si>
  <si>
    <t>Background: Arterial blood gas analysis is vital during diagnosis and treatment monitorization of mechanically ventilated patients. Work overload delays blood gas analysis lead to false results. Therefore syringes and the blood samples is recommended to kept cool or cold environment. The aim of this study is to investigate the effect of refrigerator-cooled syringes on blood gas analysis. Methods: We prepared 12 heparinized polypropylene plastic syringes for blood gas analysis for each patients before the study. Syringes divided in tree group as kept at room temperature (Group Room, n=4), or stored in the refrigerator for 30 minutes (Group Refrigerator, n=4), or stored in the refrigerator for 30 minutes but blood samples stored at room temperature (Group Refrigerator and Room, n=4). 40 for each patient's blood samples on mechanical ventilation were analyzed immediately as reference value (T-0). Samples analyzed at 15, 30, 45 and 60 minutes. Results: Patients characteristics and mechanical ventilation parameters were similar in the three groups. In terms of impact of sample temperature and storage time on arterial blood gas analysis; pH, pCO(2), and pO(2) values were not differ significantly among the groups (Table 2, P&gt;0.05). There was significant difference in 60 minutes SpO(2) value among the groups (Table 2, P&lt;0.05). Conclusion: Storage of syringes at room temperature or cooling in refrigerator was not affect arterial blood gas analysis results immediately before obtaining of blood samples. Blood gas analysis with plastic syringes at room temperature can provide safe results up to 60 minutes.</t>
  </si>
  <si>
    <t>Aydogan, MS; Yucel, A; Erdogan, MA; Sanli, M; Konur, H; Ozgul, U; Togal, T; Durmus, M</t>
  </si>
  <si>
    <t>Aydogan, Mustafa Said; Yucel, Aytac; Erdogan, Mehmet Ali; Sanli, Mukadder; Konur, Huseyin; Ozgul, Ulku; Togal, Turkan; Durmus, Mahmut</t>
  </si>
  <si>
    <t>HEALTHMED</t>
  </si>
  <si>
    <t>Temperature; storage time; arterial blood gas; plastics syringes</t>
  </si>
  <si>
    <t>GLASS SYRINGES; WHOLE-BLOOD; OXYGEN; STABILITY; TENSIONS; DELAY</t>
  </si>
  <si>
    <t>[Aydogan, Mustafa Said; Yucel, Aytac; Erdogan, Mehmet Ali; Sanli, Mukadder; Konur, Huseyin; Ozgul, Ulku; Togal, Turkan; Durmus, Mahmut] Inonu Univ, Fac Med, Dept Anesthesia &amp; Reanimat, Malatya, Turkey</t>
  </si>
  <si>
    <t>Aydogan, MS (corresponding author), Inonu Univ, Sch Med, Dept Anaesthesiol &amp; Reanimat, Malatya, Turkey.</t>
  </si>
  <si>
    <t>dr_mustafasaid@hotmail.com</t>
  </si>
  <si>
    <t>Durmus, Mahmut/ABH-3006-2020; Erdogan, Mehmet Ali/ABI-7224-2020; Yücel, Aytaç/ABI-6137-2020; Durmuş, Mahmut/AAG-3377-2019; aydogan, mustafa said/AAA-2828-2021; Sanli, Mukadder/ABI-8124-2020</t>
  </si>
  <si>
    <t>Durmus, Mahmut/0000-0001-9594-9064; Yücel, Aytaç/0000-0003-0270-8339; aydogan, mustafa said/0000-0002-7106-1156; Sanli, Mukadder/0000-0003-1009-5536</t>
  </si>
  <si>
    <t>DRUNPP-SARAJEVO</t>
  </si>
  <si>
    <t>SARAJEVO</t>
  </si>
  <si>
    <t>BOLNICKA BB, SARAJEVO, 71000, BOSNIA &amp; HERCEG</t>
  </si>
  <si>
    <t>1840-2291</t>
  </si>
  <si>
    <t>HealthMED</t>
  </si>
  <si>
    <t>081TK</t>
  </si>
  <si>
    <t>WOS:000314345000009</t>
  </si>
  <si>
    <t>Estimation of Web Distortion Effect on the Elastic and Plastic Limiting Lengths for Lateral Torsional Buckling through the Web Strain Results</t>
  </si>
  <si>
    <t>The present study is aimed to estimate the influence of the web distortion on the elastic (L-r) and plastic ( L-p) limiting lengths given in the American Institute of Steel Construction (AISC code) for the lateral torsional buckling behavior of steel beams. For this aim, the W44x335 beam is adopted in the buckling analyses carried out by the ABAQUS finite element (FE) program. The strain results at mid-height of the web at mid-span of the beam are taken into account as monitoring parameters. The web strain results are found highly greater than the yield strain value when L/L-r is equal to 1.0. Hence, the elastic limiting length (L-r) is required to be considered greater than the calculated length as per the code formulation. The section is obtained to reach the maximum strain value at the web before the unbraced length (L) is equal to the plastic limiting length (L-p). Therefore, the calculated L-p is estimated with the given analytical formulation to be highly shorter than the length through the FE analysis. These outcomes prove that the formulations of the limiting lengths proposed in the AISC code don't consider the influence of the web distortion that is predicted to lead to reducing the torsional and warping rigidity of the section. With the study, it is proposed to determine a reduction coefficient by performing more numerical analyzes for different cross sections and free openings in the regulation.</t>
  </si>
  <si>
    <t>10.2339/politeknik.926465</t>
  </si>
  <si>
    <t>Bas, S</t>
  </si>
  <si>
    <t>Bas, Selcuk</t>
  </si>
  <si>
    <t>JOURNAL OF POLYTECHNIC-POLITEKNIK DERGISI</t>
  </si>
  <si>
    <t>Web distortion; lateral torsional buckling; elastic and plastic limiting length; finite element method</t>
  </si>
  <si>
    <t>[Bas, Selcuk] Bartin Univ, Fac Engn, Dept Civil Engn, Bartin, Turkey</t>
  </si>
  <si>
    <t>Bartin University</t>
  </si>
  <si>
    <t>Bas, S (corresponding author), Bartin Univ, Fac Engn, Dept Civil Engn, Bartin, Turkey.</t>
  </si>
  <si>
    <t>sbas@bartin.edu.tr</t>
  </si>
  <si>
    <t>Bas, Selcuk/A-2766-2016</t>
  </si>
  <si>
    <t>Bas, Selcuk/0000-0003-0462-0509</t>
  </si>
  <si>
    <t>GAZI UNIV</t>
  </si>
  <si>
    <t>CENTER CAMPUS TECHNOLOGY FAC B BLOCK EK BINA, 2ND FL, ANKARA, 06500, TURKEY</t>
  </si>
  <si>
    <t>1302-0900</t>
  </si>
  <si>
    <t>2147-9429</t>
  </si>
  <si>
    <t>J POLYTECH</t>
  </si>
  <si>
    <t>J. Polytech.</t>
  </si>
  <si>
    <t>ZJ5FR</t>
  </si>
  <si>
    <t>WOS:000762330700029</t>
  </si>
  <si>
    <t>Intelligent solid waste classification using deep convolutional neural networks</t>
  </si>
  <si>
    <t>Parallel to the rapid growth of the population, the rate of consumption is increasing all over the world; this causes significant increases in the amount of waste. Thanks to the recycling of waste, not only environmental pollution is prevented but also a great contribution to the economy is made. One of the basic conditions for ensuring maximum performance in recycling processes is the classification of wastes according to their contents. At this stage, minimizing the human factor is an important issue in terms of time, labor, and performance of recycling facilities. In this research, paper, glass, plastic, and organic waste pictures obtained from the external environment were classified with the help of machine learning techniques. In classification, four- and five-layer deep convolutional neural networks algorithms were used. According to the results of the research, five-layer architecture was able to distinguish the wastes with a 70% accuracy rate. In the research, as the number of layers decreased, the performance values of the networks decreased. In the four-layer architecture, wastes could be separated by a rate of 61.67%. In both network architectures, the accuracy rate in differentiating plastic wastes from other wastes was found to be lower. The accuracy rate in the classification of plastic wastes was determined as 37% and 56.7% in four-layer and five-layer DCNN architectures, respectively. In the research, organic wastes were distinguished with higher accuracy compared to other wastes. The accuracy rate in the classification of organic wastes was determined as 83% and 76.7% in four- and five-layered DCNN architectures, respectively.</t>
  </si>
  <si>
    <t>10.1007/s13762-021-03179-4</t>
  </si>
  <si>
    <t>Altikat, A; Gulbe, A; Altikat, S</t>
  </si>
  <si>
    <t>Altikat, A.; Gulbe, A.; Altikat, S.</t>
  </si>
  <si>
    <t>INTERNATIONAL JOURNAL OF ENVIRONMENTAL SCIENCE AND TECHNOLOGY</t>
  </si>
  <si>
    <t>Plastic; Glass; Organic; Paper; Artificial intelligence</t>
  </si>
  <si>
    <t>[Altikat, A.] Igdir Univ, Engn Fac, Dept Environm Engn, Igdir, Turkey; [Gulbe, A.] Igdir Univ, Vocat Sch Tech Sci, Dept Comp Sci, Igdir, Turkey; [Altikat, S.] Igdir Univ, Agr Fac, Dept Biosyst Engn, Igdir, Turkey</t>
  </si>
  <si>
    <t>Igdir University; Igdir University; Igdir University</t>
  </si>
  <si>
    <t>Altikat, A (corresponding author), Igdir Univ, Engn Fac, Dept Environm Engn, Igdir, Turkey.</t>
  </si>
  <si>
    <t>aysun.altikat@igdir.edu.tr</t>
  </si>
  <si>
    <t>Altikat, Sefa/AAZ-7654-2021</t>
  </si>
  <si>
    <t>ALTIKAT, AYSUN/0000-0001-9774-2905</t>
  </si>
  <si>
    <t>scientific research project unit of Idr University</t>
  </si>
  <si>
    <t>This research was supported by the scientific research project unit of Idr University. The authors are thankful to the University of Igdir for providing the laboratory facilities.</t>
  </si>
  <si>
    <t>1735-1472</t>
  </si>
  <si>
    <t>1735-2630</t>
  </si>
  <si>
    <t>INT J ENVIRON SCI TE</t>
  </si>
  <si>
    <t>Int. J. Environ. Sci. Technol.</t>
  </si>
  <si>
    <t>0P5MQ</t>
  </si>
  <si>
    <t>WOS:000617859600001</t>
  </si>
  <si>
    <t>Recent advances in recycling and re-refining processes of petroleum based wastes (PBW)</t>
  </si>
  <si>
    <t>Recycling and re-refining are the applicable processes for the upgrading of petroleum based wastes (PBW) by converting them into reusable products such as gasoline and heavy oil. Possible acceptable processes are cracking and pyrolysis. The cracking process yields a highly unstable low-grade fuel oil that can be acid-corrosive, tarry, and discolored along with a characteristically foul odor Pyrolysis appears to be a technique that is able to reduce a bulky, high polluting industrial waste, while producing energy and/or valuable chemical compounds.</t>
  </si>
  <si>
    <t>10.1080/00908310390268128</t>
  </si>
  <si>
    <t>cracking; plastic waste; pyrolysis; recycling; re-refining; waste oil; waste tire</t>
  </si>
  <si>
    <t>PLASTIC WASTE; CATALYTIC PYROLYSIS; VALUABLE PRODUCTS; TIRES; OILS; RECOVERY</t>
  </si>
  <si>
    <t>Selcuk Univ, Muh Mim Fac, Dept Chem Engn, TR-42031 Konya, Turkey</t>
  </si>
  <si>
    <t>Demirbas, A (corresponding author), Selcuk Univ, Muh Mim Fac, Dept Chem Engn, TR-42031 Konya, Turkey.</t>
  </si>
  <si>
    <t>887KU</t>
  </si>
  <si>
    <t>WOS:000226305800003</t>
  </si>
  <si>
    <t>The simultaneous extraction of cellulose fiber and crystal biogenic silica from the same rice husk and evaluation in cellulose-based composite bioplastic films</t>
  </si>
  <si>
    <t>Bioplastics are environmental-friendly materials that have been essentially required to reduce global pollution resulting from the accumulation of conventional plastics. The current study was focused on simultaneous extraction of cellulose fiber and crystal biogenic silica from the same rice husks and preparation of silica-reinforced cellulose-based composite bioplastic films via casting method to evaluate in packaging applications. Herein, ZnCl2 was utilized as a solvent for the extracted cellulose fiber for the first time. As the silica content increased, barrier properties of bioplastic films increased. The highest tensile strength value in bioplastic films was obtained at 1347 kN/m(2) with 2% weight silica content. The biodegradability of bioplastic films in the soil after 21 days varied between 25.5% and 55.7%, which values were significantly higher than conventional plastics. After evaluating these properties, we strongly believe that composite bioplastic films have a high potential to be utilized as green packaging material.</t>
  </si>
  <si>
    <t>10.1002/pc.26729</t>
  </si>
  <si>
    <t>Karaca, AE; Ozel, C; Ozarslan, AC; Yucel, S</t>
  </si>
  <si>
    <t>Karaca, Arif Enes; Ozel, Cem; Ozarslan, Ali Can; Yucel, Sevil</t>
  </si>
  <si>
    <t>POLYMER COMPOSITES</t>
  </si>
  <si>
    <t>bioplastic film; cellulose; rice husk; silica</t>
  </si>
  <si>
    <t>BARRIER; NANOCOMPOSITE; NANOCELLULOSE; DISSOLUTION; NANOFIBERS</t>
  </si>
  <si>
    <t>[Karaca, Arif Enes] Ege Univ, Fac Engn, Dept Bioengn, Izmir, Turkey; [Karaca, Arif Enes; Ozel, Cem; Ozarslan, Ali Can; Yucel, Sevil] Yildiz Tech Univ, Fac Chem &amp; Met Engn, Dept Bioengn, TR-34220 Istanbul, Turkey</t>
  </si>
  <si>
    <t>Ege University; Yildiz Technical University</t>
  </si>
  <si>
    <t>Yucel, S (corresponding author), Yildiz Tech Univ, Fac Chem &amp; Met Engn, Dept Bioengn, TR-34220 Istanbul, Turkey.</t>
  </si>
  <si>
    <t>syucel@yildiz.edu.tr</t>
  </si>
  <si>
    <t>Özarslan, Ali Can/AAD-6015-2020; ÖZEL, Cem/AAG-6200-2020</t>
  </si>
  <si>
    <t>Özarslan, Ali Can/0000-0002-4864-0598; ÖZEL, Cem/0000-0002-6288-2091; Karaca, Arif Enes/0000-0003-2009-9370</t>
  </si>
  <si>
    <t>Scientific and Technological Research Council of Turkey [1919B012001396, 1649B032000005, 2211-A]</t>
  </si>
  <si>
    <t>Scientific and Technological Research Council of Turkey, Grant/Award Numbers: 1919B012001396, 1649B032000005(2211-A)</t>
  </si>
  <si>
    <t>0272-8397</t>
  </si>
  <si>
    <t>1548-0569</t>
  </si>
  <si>
    <t>POLYM COMPOSITE</t>
  </si>
  <si>
    <t>Polym. Compos.</t>
  </si>
  <si>
    <t>Materials Science, Composites; Polymer Science</t>
  </si>
  <si>
    <t>5F1RQ</t>
  </si>
  <si>
    <t>WOS:000794264600001</t>
  </si>
  <si>
    <t>Co-pyrolysis performances, synergistic mechanisms, and products of textile dyeing sludge and medical plastic wastes</t>
  </si>
  <si>
    <t>This study aimed to quantify the co-pyrolysis of textile dyeing sludge (TDS) and the two medical plastic wastes of syringes (SY) and medical bottles (MB) in terms of their performances, synergistic mechanisms, and products. The pyrolysis of polyolefin plastics with its high calorific value and low ash content can offset the poor monopyrolytic performance of TDS. The synergistic mechanisms occurred mainly in the range of 400-550 degrees C. The addition of 10% SY or MB achieved the best co-pyrolysis performance with the lowest activation energy. The co-pyrolysis increased the contents of CH4 and C-H but reduced CO2 emission. The co-pyrolysis released more fatty hydrocarbons, alcohols, and cyclic hydrocarbon during but reduced the yields of ethers and furans, through the synergistic mechanisms. The addition of the polyolefin plastics made the micro surface particles of chars smaller and looser. Our results can benefit energy utilization, pollution control, and optimal operational conditions for the industrial thermochemical conversions of hazardous wastes. (C) 2021 Elsevier B.V. All rights reserved.</t>
  </si>
  <si>
    <t>10.1016/j.scitotenv.2021.149397</t>
  </si>
  <si>
    <t>Ding, ZY; Liu, JY; Chen, HS; Huang, SZ; Evrendilek, F; He, Y; Zheng, L</t>
  </si>
  <si>
    <t>Ding, Ziyi; Liu, Jingyong; Chen, Huashan; Huang, Shengzheng; Evrendilek, Fatih; He, Yao; Zheng, Li</t>
  </si>
  <si>
    <t>Sludge; Polyolefin plastics; Pyrolytic oils; Volatiles products; Circular economy</t>
  </si>
  <si>
    <t>HIGH-DENSITY POLYETHYLENE; SEWAGE-SLUDGE; TG-FTIR; PY-GC/MS; AUGER REACTOR; HEAVY-METALS; BEHAVIORS; KINETICS; BIOMASS; COMBUSTION</t>
  </si>
  <si>
    <t>[Ding, Ziyi; Liu, Jingyong; Huang, Shengzheng; He, Yao; Zheng, Li] Guangdong Univ Technol, Sch Environm Sci &amp; Engn, Guangzhou 510006, Peoples R China; [Chen, Huashan] Guoke Foshan Testing &amp; Certificat Co Ltd, Foshan 528000, Peoples R China; [Evrendilek, Fatih] Abant Izzet Baysal Univ, Dept Environm Engn, TR-14052 Bolu, Turkey</t>
  </si>
  <si>
    <t>Evrendilek, Fatih/O-2424-2013; Evrendilek, Fatih/AAL-9010-2020</t>
  </si>
  <si>
    <t>National Natural Science Foundation of China [51978175]; Scientific and Technological Planning Project of Guangzhou, China [202103000004]; Science and Technology Planning Project of Yunfu, Guangdong Province, China [2020040401]; Science and Technology Planning Project of Shaoguan, Guangdong Province, China [2019SN114]</t>
  </si>
  <si>
    <t>National Natural Science Foundation of China(National Natural Science Foundation of China (NSFC)); Scientific and Technological Planning Project of Guangzhou, China; Science and Technology Planning Project of Yunfu, Guangdong Province, China; Science and Technology Planning Project of Shaoguan, Guangdong Province, China</t>
  </si>
  <si>
    <t>This work was financially supported by the National Natural Science Foundation of China (No. 51978175) , the Scientific and Technological Planning Project of Guangzhou, China (No. 202103000004) , the Science and Technology Planning Project of Yunfu, Guangdong Province, China (No. 2020040401) , and the Science and Technology Planning Project of Shaoguan, Guangdong Province, China (No. 2019SN114) .</t>
  </si>
  <si>
    <t>UY1AZ</t>
  </si>
  <si>
    <t>WOS:000701265500016</t>
  </si>
  <si>
    <t>Plastic antibody based surface plasmon resonance nanosensors for selective atrazine detection</t>
  </si>
  <si>
    <t>This study reports a surface plasmon resonance (SPR) based affinity sensor system with the use of molecular imprinted nanoparticles (plastic antibodies) to enhance the pesticide detection. Molecular imprinting based affinity sensor is prepared by the attachment of atrazine (chosen as model pesticide) imprinted nanoparticles onto the gold surface of SPR chip. Recognition element of the affinity sensor is polymerizable form of aspartic acid. The imprinted nanoparticles were characterized via FTIR and zeta-sizer measurements. SPR sensors are characterized with atomic force microscopy (AFM), scanning electron microscopy (SEM), Fourier transform infrared spectrophotometry (FTIR) and contact angle measurements. The imprinted nanoparticles showed more sensitivity to atrazine than the non-imprinted ones. Different concentrations of atrazine solutions are applied to SPR system to determine the adsorption kinetics. Langmuir adsorption model is found as the most suitable model for this affinity nanosensor system. In order to show the selectivity of the atrazine-imprinted nanoparticles, competitive adsorption of atrazine, simazine and amitrole is investigated. The results showed that the imprinted nanosensor has high selectivity and sensitivity for atrazine. (C) 2016 Elsevier B.V. All rights reserved.</t>
  </si>
  <si>
    <t>10.1016/j.msec.2016.12.090</t>
  </si>
  <si>
    <t>Yilmaz, E; Ozgur, E; Bereli, N; Turkmen, D; Denizli, A</t>
  </si>
  <si>
    <t>Yilmaz, Erkut; Ozgur, Erdogan; Bereli, Nilay; Turkmen, Deniz; Denizli, Adil</t>
  </si>
  <si>
    <t>MATERIALS SCIENCE &amp; ENGINEERING C-MATERIALS FOR BIOLOGICAL APPLICATIONS</t>
  </si>
  <si>
    <t>Plastic antibody; SPR MIP nanosensor; Micro-pollutants; Atrazine</t>
  </si>
  <si>
    <t>SOLID-PHASE EXTRACTION; PERFORMANCE LIQUID-CHROMATOGRAPHY; MOLECULARLY IMPRINTED POLYMERS; GOLD NANOPARTICLES; GAS-CHROMATOGRAPHY; SIGNAL AMPLIFICATION; SENSITIVE DETECTION; HERBICIDE ATRAZINE; REAL-TIME; WATER</t>
  </si>
  <si>
    <t>[Yilmaz, Erkut] Aksaray Univ, Dept Chem, TR-68100 Aksaray, Turkey; [Ozgur, Erdogan; Bereli, Nilay; Turkmen, Deniz; Denizli, Adil] Hacettepe Univ, Dept Chem, TR-06800 Ankara, Turkey</t>
  </si>
  <si>
    <t>Aksaray University; Hacettepe University</t>
  </si>
  <si>
    <t>Denizli, A (corresponding author), Hacettepe Univ, Dept Chem, Div Biochem, TR-06800 Ankara, Turkey.</t>
  </si>
  <si>
    <t>denizli@hacettepe.edu.tr</t>
  </si>
  <si>
    <t>Türkmen, Deniz/GYU-5273-2022; yilmaz, erkut/F-5230-2011; Türkmen, Mehmet Deniz/HKF-5639-2023; Özgür, Erdoğan/G-5261-2012; TURKMEN, DENIZ/AAN-9964-2020</t>
  </si>
  <si>
    <t>Türkmen, Deniz/0000-0003-0161-172X; yilmaz, erkut/0000-0002-1217-5225; Özgür, Erdoğan/0000-0003-2494-4244; TURKMEN, DENIZ/0000-0003-0161-172X</t>
  </si>
  <si>
    <t>Ministry of Food, Agriculture and Livestock, of Republic of Turkey [TAGEM 12/AR-GE/35]</t>
  </si>
  <si>
    <t>Ministry of Food, Agriculture and Livestock, of Republic of Turkey(Gida Tarim Ve Hayvancilik Bakanligi)</t>
  </si>
  <si>
    <t>This research has been carried out with supports from the Ministry of Food, Agriculture and Livestock, of Republic of Turkey with grant number TAGEM 12/AR-GE/35.</t>
  </si>
  <si>
    <t>0928-4931</t>
  </si>
  <si>
    <t>1873-0191</t>
  </si>
  <si>
    <t>MAT SCI ENG C-MATER</t>
  </si>
  <si>
    <t>Mater. Sci. Eng. C-Mater. Biol. Appl.</t>
  </si>
  <si>
    <t>APR 1</t>
  </si>
  <si>
    <t>Materials Science, Biomaterials</t>
  </si>
  <si>
    <t>EK6VT</t>
  </si>
  <si>
    <t>WOS:000394064800071</t>
  </si>
  <si>
    <t>Monitoring of biofilm-associated Legionella pneumophila on different substrata in model cooling tower system</t>
  </si>
  <si>
    <t>Cooling towers have the potential to develop infectious concentrations of Legionella pneumophila. Legionella counts increases where biofilm and warm water temperatures are present. In this study, biofilm associated L. pneumophila and heterotrophic bacteria were compared in terms of material dependence. Model cooling tower system was experimentally infected by L. pneumophila standard strain and monthly monitored. Different materials were tested for a period of 180 days. The lowest L. pneumophila and heterotrophic plate counts were measured on plastic polymers, whereas L. pneumophila and heterotrophic bacteria were accumulated rapidly on galvanized steel surfaces. It can be concluded that selection of plastic polymers, as a manufacturing material, are suitable for recirculating water systems.</t>
  </si>
  <si>
    <t>10.1007/s10661-006-9519-8</t>
  </si>
  <si>
    <t>Turetgen, I; Cotuk, A</t>
  </si>
  <si>
    <t>Turetgen, Irfan; Cotuk, Aysin</t>
  </si>
  <si>
    <t>Cooling tower; Legionella pneumophila; Legionnaires' disease; biofilm; biofouling</t>
  </si>
  <si>
    <t>PSEUDOMONAS-AERUGINOSA; GROWTH; ENUMERATION; SURVIVAL; BACTERIA; EFFICACY; OUTBREAK</t>
  </si>
  <si>
    <t>Istanbul Univ, Fac Sci, Dept Biol, TR-34118 Istanbul, Turkey</t>
  </si>
  <si>
    <t>Turetgen, I (corresponding author), Istanbul Univ, Fac Sci, Dept Biol, TR-34118 Istanbul, Turkey.</t>
  </si>
  <si>
    <t>turetgen@istanbul.edu.tr</t>
  </si>
  <si>
    <t>Turetgen, Irfan/D-8149-2012; Turetgen, Irfan/A-4489-2010</t>
  </si>
  <si>
    <t>Turetgen, Irfan/0000-0002-7866-1007; Turetgen, Irfan/0000-0002-7866-1007</t>
  </si>
  <si>
    <t>1-3</t>
  </si>
  <si>
    <t>132VG</t>
  </si>
  <si>
    <t>WOS:000243970000028</t>
  </si>
  <si>
    <t>Simulation and efficiency studies of optical photon transportation and detection with plastic antineutrino detector modules</t>
  </si>
  <si>
    <t>In this work, the simulation of optical photons is carried out in an antineutrino detector module consisting of a plastic scintillator connected to light guides and photomultipliers on both ends, which is considered to be used for remote reactor monitoring in the field of nuclear safety. Using Monte Carlo (MC) based GEANT4 simulation, numerous parameters influencing the light collection and thereby the energy resolution of the antineutrino detector module are studied: e.g., degrees of scintillator surface roughness, reflector type, and its applying method onto scintillator and light guide surface, the reflectivity of the reflector, light guide geometries and diameter of the photocathode. The impact of each parameter is investigated by looking at the detected spectrum, i.e. the number photoelectrons per depositing energy. In addition, the average light collection efficiency of the detector module and its spatial variation are calculated for each simulation setup. According to the simulation results, it is found that photocathode size, light guide shape, reflectivity of reflecting material and wrapping method show a significant impact on the light collection efficiency while scintillator surface polishing level and the choose of reflector type show relatively less impact. This study demonstrates that these parameters are very important in the design of plastic scintillator included antineutrino detectors to improve the energy resolution efficiency.</t>
  </si>
  <si>
    <t>10.1016/j.nima.2018.04.059</t>
  </si>
  <si>
    <t>Antineutrino; GEANT4; Optical photon; Light collection efficiency</t>
  </si>
  <si>
    <t>Kandemir, M (corresponding author), Istanbul Tech Univ, Dept Phys Engn, TR-34469 Istanbul, Turkey.;Kandemir, M (corresponding author), Recep Tayyip Erdogan Univ, Dept Phys, TR-53100 Rize, Turkey.</t>
  </si>
  <si>
    <t>GI8NN</t>
  </si>
  <si>
    <t>WOS:000434781800005</t>
  </si>
  <si>
    <t>Towards an improved international framework to govern the life cycle of plastics</t>
  </si>
  <si>
    <t>Current international and regional frameworks provide a fragmented approach to the global governance of the life cycle of plastics. Three options to address marine litter have recently been published and presented at the third meeting of the United Nations Environment Assembly. This article outlines two options for a new international architecture, leaving to the side the third option of maintaining the status quo. The first suggests a global voluntary agreement that supplements the appropriate revisions and strengthening of relevant existing instruments. The second option provides for a global agreement that combines binding and voluntary measures. Whether the approach is binding or voluntary, strong integration with industry must be a primary outcome for either to be effective. The article discusses the merits of these options and considers where the authority for a new international instrument could come from.</t>
  </si>
  <si>
    <t>10.1111/reel.12267</t>
  </si>
  <si>
    <t>Raubenheimer, K; Mcllgorm, A; Oral, N</t>
  </si>
  <si>
    <t>Raubenheimer, Karen; Mcllgorm, Alistair; Oral, Nilufer</t>
  </si>
  <si>
    <t>REVIEW OF EUROPEAN COMPARATIVE &amp; INTERNATIONAL ENVIRONMENTAL LAW</t>
  </si>
  <si>
    <t>POLLUTION; REDUCE</t>
  </si>
  <si>
    <t>[Raubenheimer, Karen; Mcllgorm, Alistair] Univ Wollongong, ANCORS, Wollongong, NSW, Australia; [Mcllgorm, Alistair] Australian Maritime Coll, Newnham, Tas, Australia; [Mcllgorm, Alistair] Natl Marine Sci Ctr, Coffs Harbour, NSW, Australia; [Oral, Nilufer] Istanbul Bilgi Univ, Law Fac, Istanbul, Turkey; [Oral, Nilufer] Univ Calif Berkeley, Sea Inst Berkeley Law, Law, Berkeley, CA 94720 USA</t>
  </si>
  <si>
    <t>University of Wollongong; University of Tasmania; Southern Cross University; Istanbul Bilgi University; University of California System; University of California Berkeley</t>
  </si>
  <si>
    <t>Raubenheimer, K (corresponding author), Univ Wollongong, ANCORS, Wollongong, NSW, Australia.</t>
  </si>
  <si>
    <t>kraubenh@uow.edu.au</t>
  </si>
  <si>
    <t>Raubenheimer, Karen/AAS-6078-2021</t>
  </si>
  <si>
    <t>Raubenheimer, Karen/0000-0003-3556-0668; Mcilgorm, Alistair/0000-0001-6625-5573</t>
  </si>
  <si>
    <t>2050-0386</t>
  </si>
  <si>
    <t>2050-0394</t>
  </si>
  <si>
    <t>REV EUR COMP INT ENV</t>
  </si>
  <si>
    <t>Rev. Eur. Comp. Int. Environ.</t>
  </si>
  <si>
    <t>Environmental Studies; Law</t>
  </si>
  <si>
    <t>Environmental Sciences &amp; Ecology; Government &amp; Law</t>
  </si>
  <si>
    <t>HE5FY</t>
  </si>
  <si>
    <t>WOS:000453401400002</t>
  </si>
  <si>
    <t>Dual-Type Electrochromic Device with Single Wall Carbon Nano Tube Employment in Gel Electrolyte</t>
  </si>
  <si>
    <t>A novel conducting polymer-based electrochromic device is proposed with single walled carbon nanotube (SWCNT) employment in gel electrolyte. Electrochemical film deposition on indium tin oxide substrates were governed and monitored via cyclic-voltametry. Construction details of the proposed device are presented with its optimized parameters and SWCNT doping caused a noteworthy enhancement in efficiency and stability of the device performance. POLYM. ENG. SCI., 49:1311-1315, 2009. (C) 2009 Society of Plastics Engineers</t>
  </si>
  <si>
    <t>10.1002/pen.21372</t>
  </si>
  <si>
    <t>Kosemen, A; San, SE; Yerli, Y; Okutan, M; Uygun, M; Yilmaz, F; Celik, A</t>
  </si>
  <si>
    <t>Kosemen, Arif; San, S. Eren; Yerli, Yusuf; Okutan, Mustafa; Uygun, Melek; Yilmaz, Faruk; Celik, Asuman</t>
  </si>
  <si>
    <t>POLYMER ENGINEERING AND SCIENCE</t>
  </si>
  <si>
    <t>[Kosemen, Arif; San, S. Eren; Yerli, Yusuf; Okutan, Mustafa; Uygun, Melek] Gebze Inst Technol, Dept Phys, TR-41400 Gebze, Kocaeli, Turkey; [Yilmaz, Faruk; Celik, Asuman] Gebze Inst Technol, Dept Chem, TR-41400 Gebze, Kocaeli, Turkey</t>
  </si>
  <si>
    <t>Gebze Technical University; Gebze Technical University</t>
  </si>
  <si>
    <t>San, SE (corresponding author), Gebze Inst Technol, Dept Phys, TR-41400 Gebze, Kocaeli, Turkey.</t>
  </si>
  <si>
    <t>erens@gyte.edu.tr</t>
  </si>
  <si>
    <t>San, Sait Eren/AAR-2080-2020; Kösemen, Arif/HTT-0565-2023; kösemen, arif/V-6925-2017; Yerli, Yusuf/AAZ-7496-2020; Okutan, Mustafa/A-1620-2018</t>
  </si>
  <si>
    <t>Kösemen, Arif/0000-0001-8139-343X; kösemen, arif/0000-0002-7572-7963; Okutan, Mustafa/0000-0002-5707-8090; SAN, SAIT EREN/0000-0001-5042-4555; Celik-Kucuk, Asuman/0000-0002-3509-1497</t>
  </si>
  <si>
    <t>0032-3888</t>
  </si>
  <si>
    <t>1548-2634</t>
  </si>
  <si>
    <t>POLYM ENG SCI</t>
  </si>
  <si>
    <t>Polym. Eng. Sci.</t>
  </si>
  <si>
    <t>Engineering, Chemical; Polymer Science</t>
  </si>
  <si>
    <t>Engineering; Polymer Science</t>
  </si>
  <si>
    <t>465JK</t>
  </si>
  <si>
    <t>WOS:000267579200006</t>
  </si>
  <si>
    <t>Development of novel collagen hydrolysate bio-nanocomposite films extracted from hide trimming wastes reinforced with chitosan nanoparticles</t>
  </si>
  <si>
    <t>The wide availability of pollutant by-products from the leather industries has been a key factor in driving the research into converting these low-cost by-products into high value-added collagen-based products. In this study, collagen hydrolysate (CH) was extracted from hide trimming waste from the tanneries and used to prepare biodegradable films with chitosan nanoparticles (CNPs) with different concentrations to develop an alternative product to non-biodegradable plastics. The effects of CNPs concentration on the thickness, mechanical, water barrier, thermal, light transmittance, color properties, and opacity of CH-based films were investigated. The results clearly show that the tensile strength and elastic modulus values of CH/CNPs films increase significantly as the concentration of CNPs increases, while the elongation at break, water solubility, and water vapor permeability values decrease. In addition, scanning electron microscopy (SEM) showed uniform distributions of CNPs in the CH-based films. Based on the results obtained, the extraction of CH from hide trimming wastes and reuse in the production of biodegradable films will both prevent these valuable wastes from being dispose into the landfills and will be an alternative to fossil-derived plastics in the future.</t>
  </si>
  <si>
    <t>10.1007/s11356-021-13306-w</t>
  </si>
  <si>
    <t>Ocak, B</t>
  </si>
  <si>
    <t>Ocak, Bugra</t>
  </si>
  <si>
    <t>Collagen hydrolysate; Bio-nanocomposite; Chitosan nanoparticles; Film</t>
  </si>
  <si>
    <t>[Ocak, Bugra] Ege Univ, Fac Engn, Dept Leather Engn, TR-35100 Izmir, Turkey</t>
  </si>
  <si>
    <t>Ocak, B (corresponding author), Ege Univ, Fac Engn, Dept Leather Engn, TR-35100 Izmir, Turkey.</t>
  </si>
  <si>
    <t>bugra.ocak@ege.edu.tr</t>
  </si>
  <si>
    <t>Ocak, Bugra/0000-0002-8082-4290</t>
  </si>
  <si>
    <t>TL1WW</t>
  </si>
  <si>
    <t>WOS:000625616400017</t>
  </si>
  <si>
    <t>A combined phenomenological artificial neural network approach for determination of pyrolysis and combustion kinetics of polyvinyl chloride</t>
  </si>
  <si>
    <t>As a widely used plastic material polyvinyl chloride (PVC) accounts for a significant amount of plastic waste but also offers great potential in conversion to chemical feedstock via pyrolysis process. However, development of a sensitive mathematical approach is required for proper process design and monitoring of thermochemical conversion processes. In this work, we attempt to develop an artificial neural network (ANN) model for estimation of mass loss as a function of temperature and heating rate during pyrolysis and combustion of PVC. For this purpose, pyrolysis and combustion characteristics were quantified using thermogravimetric analysis, then non-isothermal kinetics were analysed by iso-conversional models. The results of ANN models show that this method helps predict complex systems with high regression coefficient (R-2) values. The best performed model analysed by ANN for pyrolysis was NN 7 with R-2 = 0.9993, the best performed model for combustion was NN 10 with R-2 = 0.9982. Comparison of experimental results to ANN predictions indicates that ANNs with a quick propagation algorithm can be an effective approach for modelling complex non-linear systems such as thermal degradation of thermoplastics.</t>
  </si>
  <si>
    <t>10.1002/er.8361</t>
  </si>
  <si>
    <t>Ozsin, G; Takan, MA; Takan, A; Putun, AE</t>
  </si>
  <si>
    <t>Ozsin, Gamzenur; Takan, Melis Alpaslan; Takan, Arda; Putun, Ayse Eren</t>
  </si>
  <si>
    <t>INTERNATIONAL JOURNAL OF ENERGY RESEARCH</t>
  </si>
  <si>
    <t>artificial neural network (ANN); combustion; kinetics; polyvinyl chloride (PVC) polymer; pyrolysis</t>
  </si>
  <si>
    <t>CO-PYROLYSIS; THERMAL-DEGRADATION; THERMOGRAVIMETRIC ANALYSIS; POLY(VINYL CHLORIDE); TEMPERATURE PYROLYSIS; BIOMASS PYROLYSIS; PVC; WASTE; PLASTICS; MIXTURES</t>
  </si>
  <si>
    <t>[Ozsin, Gamzenur] Bilecik Seyh Edebali Univ, Fac Engn, Dept Chem Engn, TR-11230 Bilecik, Turkey; [Ozsin, Gamzenur] Imperial Coll London, Fac Engn, Dept Chem Engn, London, England; [Takan, Melis Alpaslan] Bilecik Seyh Edebali Univ, Fac Engn, Dept Ind Engn, Bilecik, Turkey; [Takan, Arda] Eskisehir Tech Univ, Fac Engn, Dept Ind Engn, Eskisehir, Turkey; [Putun, Ayse Eren] Anadolu Univ, Fac Engn, Dept Chem Engn, Eskisehir, Turkey</t>
  </si>
  <si>
    <t>Bilecik Seyh Edebali University; Imperial College London; Bilecik Seyh Edebali University; Eskisehir Technical University; Anadolu University</t>
  </si>
  <si>
    <t>Ozsin, G (corresponding author), Bilecik Seyh Edebali Univ, Fac Engn, Dept Chem Engn, TR-11230 Bilecik, Turkey.</t>
  </si>
  <si>
    <t>gozsin@anadolu.edu.tr</t>
  </si>
  <si>
    <t>Özsin, Gamzenur/GWR-2271-2022</t>
  </si>
  <si>
    <t>Bilecik Seyh Edebali University [2019-02.BSEU.03-03, 2020-01.BSEU.03-09]</t>
  </si>
  <si>
    <t>Bilecik Seyh Edebali University(Bilecik Seyh Edebali University)</t>
  </si>
  <si>
    <t>Bilecik Seyh Edebali University, Grant/Award Numbers: 2019-02.BSEU.03-03, 2020-01.BSEU.03-09</t>
  </si>
  <si>
    <t>WILEY-HINDAWI</t>
  </si>
  <si>
    <t>ADAM HOUSE, 3RD FL, 1 FITZROY SQ, LONDON, WIT 5HE, ENGLAND</t>
  </si>
  <si>
    <t>0363-907X</t>
  </si>
  <si>
    <t>1099-114X</t>
  </si>
  <si>
    <t>INT J ENERG RES</t>
  </si>
  <si>
    <t>Int. J. Energy Res.</t>
  </si>
  <si>
    <t>Energy &amp; Fuels; Nuclear Science &amp; Technology</t>
  </si>
  <si>
    <t>4O8PR</t>
  </si>
  <si>
    <t>WOS:000830203200001</t>
  </si>
  <si>
    <t>Preliminary analysis of Marine Litter Watch data of the European Environment Agency with particular reference to the Black Sea</t>
  </si>
  <si>
    <t>In this study the Marine Litter Watch (MLW) database comprising data from European beaches, including seas, rivers and lakes has been analysed mainly for the sea beaches from 2014-2019. Among the four EU regional seas, the Black Sea appeared as the most littered beach (with a median value of 652 items/100m) with the Baltic Sea the least polluted (with a median value of 78 items/100m). The percentage share of plastics on beaches was very high for most EU regional seas (79-88%). In the top 10 litter items, cigarette butt &amp; filters abundances were much higher for the Black Sea (36.4%) and the Mediterranean Sea (22.6%), compared to those for the north-east Atlantic and the Baltic Sea (both 13.2%). With a share of 66.1%, the Black Sea had the highest rate of Single-Use Plastics (SUP). Considering combined data, sea-beach litter appeared to increase steadily after 2014 with median values from 125 to 436 items/100m. The high values for the Black Sea caused an overall increase trend in beach litter at the European scale.</t>
  </si>
  <si>
    <t>Kideys, AE; Aydin, M</t>
  </si>
  <si>
    <t>Kideys, Ahmet E.; Aydin, Mustafa</t>
  </si>
  <si>
    <t>Marine litter; beach; Europe; Black Sea; Marine Litter Watch</t>
  </si>
  <si>
    <t>IMPACTS</t>
  </si>
  <si>
    <t>[Kideys, Ahmet E.] Middle East Tech Univ, Inst Marine Sci, Erdemli, Turkey; [Aydin, Mustafa] European Environm Agcy EEA, Copenhagen, Denmark</t>
  </si>
  <si>
    <t>Kideys, AE (corresponding author), Middle East Tech Univ, Inst Marine Sci, Erdemli, Turkey.</t>
  </si>
  <si>
    <t>WOS:000637180200007</t>
  </si>
  <si>
    <t>Wireless Measurement of Elastic and Plastic Deformation by a Metamaterial-Based Sensor</t>
  </si>
  <si>
    <t>We report remote strain and displacement measurement during elastic and plastic deformation using a metamaterial-based wireless and passive sensor. The sensor is made of a comb-like nested split ring resonator (NSRR) probe operating in the near-field of an antenna, which functions as both the transmitter and the receiver. The NSRR probe is fixed on a standard steel reinforcing bar (rebar), and its frequency response is monitored telemetrically by a network analyzer connected to the antenna across the whole stress-strain curve. This wireless measurement includes both the elastic and plastic region deformation together for the first time, where wired technologies, like strain gauges, typically fail to capture. The experiments are further repeated in the presence of a concrete block between the antenna and the probe, and it is shown that the sensing system is capable of functioning through the concrete. The comparison of the wireless sensor measurement with those undertaken using strain gauges and extensometers reveals that the sensor is able to measure both the average strain and the relative displacement on the rebar as a result of the applied force in a considerably accurate way. The performance of the sensor is tested for different types of misalignments that can possibly occur due to the acting force. These results indicate that the metamaterial-based sensor holds great promise for its accurate, robust and wireless measurement of the elastic and plastic deformation of a rebar, providing beneficial information for remote structural health monitoring and post-earthquake damage assessment.</t>
  </si>
  <si>
    <t>10.3390/s141019609</t>
  </si>
  <si>
    <t>Ozbey, B; Demir, HV; Kurc, O; Erturk, VB; Altintas, A</t>
  </si>
  <si>
    <t>Ozbey, Burak; Demir, Hilmi Volkan; Kurc, Ozgur; Erturk, Vakur B.; Altintas, Ayhan</t>
  </si>
  <si>
    <t>SENSORS</t>
  </si>
  <si>
    <t>displacement sensor; strain sensor; elastic-plastic region; metamaterial; structural health monitoring</t>
  </si>
  <si>
    <t>ALIGNMENT; CONCRETE; DESIGN</t>
  </si>
  <si>
    <t>[Ozbey, Burak; Demir, Hilmi Volkan; Erturk, Vakur B.; Altintas, Ayhan] Bilkent Univ, UNAM Inst Mat Sci &amp; Nanotechnol, Dept Phys, Dept Elect &amp; Elect Engn, TR-06800 Ankara, Turkey; [Demir, Hilmi Volkan] Nanyang Technol Univ, Sch Phys &amp; Math Sci, Sch Elect &amp; Elect Engn, Singapore 639798, Singapore; [Kurc, Ozgur] Middle E Tech Univ, Dept Civil Engn, TR-06800 Ankara, Turkey; [Altintas, Ayhan] Abdullah Gul Univ, Fac Engn &amp; Nat Sci, TR-38039 Kayseri, Turkey</t>
  </si>
  <si>
    <t>Ihsan Dogramaci Bilkent University; Nanyang Technological University &amp; National Institute of Education (NIE) Singapore; Nanyang Technological University; Middle East Technical University; Abdullah Gul University</t>
  </si>
  <si>
    <t>Ozbey, B (corresponding author), Bilkent Univ, UNAM Inst Mat Sci &amp; Nanotechnol, Dept Phys, Dept Elect &amp; Elect Engn, TR-06800 Ankara, Turkey.</t>
  </si>
  <si>
    <t>ozbey@ee.bilkent.edu.tr; volkan@bilkent.edu.tr; kurc@metu.edu.tr; vakur@ee.bilkent.edu.tr; altintas@ee.bilkent.edu.tr</t>
  </si>
  <si>
    <t>erturk, vakur/Q-7783-2019; Demir, Hilmi Volkan/AAV-2194-2020; Ozbey, Burak/T-5307-2019; Kurc, Ozgur/AAZ-9948-2020</t>
  </si>
  <si>
    <t>erturk, vakur/0000-0003-0780-5015; Demir, Hilmi Volkan/0000-0003-1793-112X; Ozbey, Burak/0000-0001-7485-2132; Kurc, Ozgur/0000-0002-4761-6211; altintas, ayhan/0000-0002-3501-4010</t>
  </si>
  <si>
    <t>Scientific and Technological Research Council of Turkey (TUBITAK) EEEAG grant [112E255]; European Science Foundation (EURYI); TUBITAK BIDEB; Turkish National Academy of Sciences (TUBA)</t>
  </si>
  <si>
    <t>Scientific and Technological Research Council of Turkey (TUBITAK) EEEAG grant(Turkiye Bilimsel ve Teknolojik Arastirma Kurumu (TUBITAK)); European Science Foundation (EURYI)(European Science Foundation (ESF)); TUBITAK BIDEB(Turkiye Bilimsel ve Teknolojik Arastirma Kurumu (TUBITAK)); Turkish National Academy of Sciences (TUBA)(Turkish Academy of Sciences)</t>
  </si>
  <si>
    <t>We gratefully acknowledge the support from The Scientific and Technological Research Council of Turkey (TUBITAK) EEEAG grant No. 112E255. We also thank Ramazan Ozcelik and Ozlem Temel for their valuable efforts in conducting of the experiments in Middle East Technical University. H. V. D. also gratefully acknowledges the support from European Science Foundation (EURYI), as well as TUBITAK BIDEB and the Turkish National Academy of Sciences (TUBA).</t>
  </si>
  <si>
    <t>1424-8220</t>
  </si>
  <si>
    <t>SENSORS-BASEL</t>
  </si>
  <si>
    <t>Sensors</t>
  </si>
  <si>
    <t>Chemistry, Analytical; Engineering, Electrical &amp; Electronic; Instruments &amp; Instrumentation</t>
  </si>
  <si>
    <t>Chemistry; Engineering; Instruments &amp; Instrumentation</t>
  </si>
  <si>
    <t>AS7SS</t>
  </si>
  <si>
    <t>WOS:000344455700090</t>
  </si>
  <si>
    <t>Assessing Provisions and Requirements for the Sustainable Production of Plastics: Towards Achieving SDG 12 from the Consumers' Perspective</t>
  </si>
  <si>
    <t>Plastics are used widely, and modern civilization would have to behave differently without them. However, plastics pose a threat to sustainable life. This paper focuses on some of the provisions being made for sustainable production to date and focuses on one key sector-plastic manufacturing-where sustainable production patterns are urgently needed. The paper describes the latest trends related to plastic production, its environmental impacts, and how this sector is adjusting its processes in order to meet the current and forthcoming legal requirements and consumer demands. The methodological approach of the study has focused on both a literature review on the one hand and the consumers' perspective obtained via a survey on the other. These two approaches were then crosschecked in order to assess current trends in plastic manufacturing and to understand how consumers see these trends as being consistent with the aims of the UN Sustainable Development Goal 12. The results obtained suggest that a greater engagement of consumers is needed in supporting the efforts to manage plastic more sustainably. Based on its findings, the paper provides useful insights linked to principles and tools for sustainable plastic production and design, and it demonstrates the usefulness and urgency of a sound materials management in order to tackle plastic pollution, one of today's major environmental problems.</t>
  </si>
  <si>
    <t>10.3390/su142416542</t>
  </si>
  <si>
    <t>Leal, W; Barbir, J; Ozuyar, PG; Nunez, E; Diaz-Sarachaga, JM; Guillaume, B; Anholon, R; Rampasso, IS; Swart, J; Velazquez, L; Ng, TF</t>
  </si>
  <si>
    <t>Leal Filho, Walter; Barbir, Jelena; Ozuyar, Pinar Gokcin; Nunez, Enrique; Diaz-Sarachaga, Jose Manuel; Guillaume, Bertrand; Anholon, Rosley; Simon Rampasso, Izabela; Swart, Julia; Velazquez, Luis; Ng, Theam Foo</t>
  </si>
  <si>
    <t>sustainable production; consumers; SDG 12; plastics</t>
  </si>
  <si>
    <t>CONSUMPTION; OPPORTUNITIES; BIOPLASTICS; REDUCTION; PURCHASE; ECONOMY; IMPACT; PERCEPTIONS; INDUSTRY; CONTEXT</t>
  </si>
  <si>
    <t>[Leal Filho, Walter; Barbir, Jelena] Hamburg Univ Appl Sci, Fac Life Sci, Res &amp; Transfer Ctr Sustainable Dev &amp; Climate Chan, Ulmenliet 20, D-21033 Hamburg, Germany; [Leal Filho, Walter] Manchester Metropolitan Univ, Dept Nat Sci, Chester St, Manchester M1 5GD, Lancs, England; [Ozuyar, Pinar Gokcin] Bahsesehir Univ, Fac Econ Adm &amp; Social Sci, TR-34349 Istanbul, Turkey; [Nunez, Enrique] Ramapo Coll, Anisfield Sch Business, Management Convening Grp, Mahwah, NJ 07430 USA; [Diaz-Sarachaga, Jose Manuel] Univ Oviedo, GTDS Res Grp, C Catedratico Valentin Alvarez S-N, Oviedo 33006, Spain; [Guillaume, Bertrand] Univ Technol Troyes, Interdisciplinary Res Soc Technol Environm Intera, F-10300 Troyes, France; [Anholon, Rosley] Univ Estadual Campinas, Dept Mfg Engn &amp; Mat, BR-13083860 Sao Paulo, Brazil; [Simon Rampasso, Izabela] Univ Catolica Norte, Dept Ingn Ind, Antofagasta 0610, Chile; [Swart, Julia] Univ Utrecht, Utrecht Sch Econ, Kriekenpitpl 21-22, NL-3584 EC Utrecht, Netherlands; [Velazquez, Luis] Univ Sonora, Ind Engn Dept, Blvd Luis Encinas &amp; Rosales S-N, Hermosillo 83000, Sonora, Mexico; [Ng, Theam Foo] Univ Sains Malaysia, Ctr Global Sustainabil Studies, George Town 11800, Malaysia</t>
  </si>
  <si>
    <t>Hochschule Angewandte Wissenschaft Hamburg; Manchester Metropolitan University; Ramapo College New Jersey (RCNJ); University of Oviedo; Universite de Technologie de Troyes; Universidade Estadual de Campinas; Universidad Catolica del Norte; Utrecht University; Universidad de Sonora; Universiti Sains Malaysia</t>
  </si>
  <si>
    <t>Barbir, J (corresponding author), Hamburg Univ Appl Sci, Fac Life Sci, Res &amp; Transfer Ctr Sustainable Dev &amp; Climate Chan, Ulmenliet 20, D-21033 Hamburg, Germany.</t>
  </si>
  <si>
    <t>jelena.barbir@haw-hamburg.de</t>
  </si>
  <si>
    <t>Anholon, Rosley/C-3650-2018; Swart, Julia/AFT-0201-2022; Leal, Walter/ACX-9082-2022; Ozuyar, Pinar/Y-2189-2018; Guillaume, Bertrand/AFE-0339-2022; DIAZ-SARACHAGA, JOSE MANUEL/I-3137-2019; Rampasso, Izabela Simon/H-1755-2018; Ng, Theam Foo/V-8788-2018</t>
  </si>
  <si>
    <t>Anholon, Rosley/0000-0003-3163-6119; Swart, Julia/0000-0001-9840-0026; Leal, Walter/0000-0002-1241-5225; Guillaume, Bertrand/0000-0002-7092-6402; DIAZ-SARACHAGA, JOSE MANUEL/0000-0002-4709-2534; Rampasso, Izabela Simon/0000-0003-1633-6628; Barbir, Jelena/0000-0002-9226-0680; OZUYAR, PINAR/0000-0002-2505-2216; Ng, Theam Foo/0000-0002-9529-4456; Velazquez, Luis/0000-0002-3370-7761</t>
  </si>
  <si>
    <t>European Union;  [860407]</t>
  </si>
  <si>
    <t xml:space="preserve">European Union(European Union (EU)); </t>
  </si>
  <si>
    <t>This study has received funding from the European Union's Horizon 2020-Research and Innovation Framework Programme through the research project BIO-PLASTICS EUROPE, under grant agreement No. 860407.</t>
  </si>
  <si>
    <t>7I8EG</t>
  </si>
  <si>
    <t>WOS:000904120600001</t>
  </si>
  <si>
    <t>Migration of a Swallowed Blunt Foreign Body to the Neck</t>
  </si>
  <si>
    <t>Ingestion of foreign bodies is a common problem in the otolaryngology practice. Reports of extraluminal migration of the foreign bodies from the upper aerodigestive tract are rare. Penetration and extraluminal migration of ingested foreign bodies may cause severe vascular and suppurative complications, even death. We report a 4-year-old girl who presented with a mass and partial extrusion of a foreign body in the neck. She had a history of ingesting the plastic top piece of a knitting needle approximately 1 year ago. She had been asymptomatic until the present time. The examination revealed a red, blunt, rectangular plastic foreign body half embedded in the skin of the right neck. Esophagography with barium swallow, cervical X-rays, and computed tomography scans were obtained. The foreign body was easily removed under general anesthesia. Primary closure and direct laryngoscopy was also performed. The patient recovered very well without any complications.</t>
  </si>
  <si>
    <t>10.1155/2014/646785</t>
  </si>
  <si>
    <t>Ozturk, K; Turhal, G; Gode, S; Yavuzer, A</t>
  </si>
  <si>
    <t>Ozturk, Kerem; Turhal, Goksel; Gode, Sercan; Yavuzer, Atilla</t>
  </si>
  <si>
    <t>CASE REPORTS IN OTOLARYNGOLOGY</t>
  </si>
  <si>
    <t>BODIES</t>
  </si>
  <si>
    <t>[Ozturk, Kerem; Turhal, Goksel; Gode, Sercan; Yavuzer, Atilla] Ege Univ, Sch Med, Dept Otolaryngol, Izmir, Turkey</t>
  </si>
  <si>
    <t>Ozturk, K (corresponding author), Ege Univ, Sch Med, Dept Otolaryngol, Izmir, Turkey.</t>
  </si>
  <si>
    <t>drkeremm@yahoo.com</t>
  </si>
  <si>
    <t>Ozturk, Kerem/GNP-2835-2022</t>
  </si>
  <si>
    <t>Ozturk, Kerem/0000-0003-4608-6105; Turhal, Goksel/0000-0003-0020-1921</t>
  </si>
  <si>
    <t>HINDAWI LTD</t>
  </si>
  <si>
    <t>ADAM HOUSE, 3RD FLR, 1 FITZROY SQ, LONDON, W1T 5HF, ENGLAND</t>
  </si>
  <si>
    <t>2090-6765</t>
  </si>
  <si>
    <t>2090-6773</t>
  </si>
  <si>
    <t>CASE REP OTOLARYNGOL</t>
  </si>
  <si>
    <t>Case Rep. Otolaryngol.</t>
  </si>
  <si>
    <t>Otorhinolaryngology</t>
  </si>
  <si>
    <t>V25DY</t>
  </si>
  <si>
    <t>gold, Green Published, Green Submitted</t>
  </si>
  <si>
    <t>WOS:000215206500062</t>
  </si>
  <si>
    <t>The Portevin-Le Chatelier effect with surface potential</t>
  </si>
  <si>
    <t>Surface potential of AA 3204 undergoing a serrated plastic flow (PLC effect) was monitored in a dilute brine electrolyte under various strain rates at 30 degrees C. Significant potential bursts at the launch of the stress drop regimes of the flow were revealed. The serration counts and frequency of the PLC effect matched with that of the bursts precisely, and average burst magnitude (Delta V) was found to be directly proportional with that of the stress drops (Delta sigma). The bursts were attributed to the electrons in strain fields of the slip steps exposed to the electrolyte during the local banding events. The utility of the electrochemical set-up for investigation of the PLC effect and monitoring deformation and damage progress of materials were affirmed. (C) 2016 Elsevier B.V. All rights reserved.</t>
  </si>
  <si>
    <t>10.1016/j.jallcom.2016.12.396</t>
  </si>
  <si>
    <t>JOURNAL OF ALLOYS AND COMPOUNDS</t>
  </si>
  <si>
    <t>Plastic deformation; PLC effect; Surface potential; Barrier film; Dislocations</t>
  </si>
  <si>
    <t>ALUMINUM-ALLOY; STRAIN; DYNAMICS; BANDS; ION; DEFORMATION; THICKNESS; BEHAVIOR; SIGNALS; METALS</t>
  </si>
  <si>
    <t>[Yilmaz, A.] Univ Yalova, Fac Engn, Dept Chem &amp; Proc Engn, Yalova, Turkey</t>
  </si>
  <si>
    <t>Yalova University</t>
  </si>
  <si>
    <t>Yilmaz, A (corresponding author), Univ Yalova, Fac Engn, Dept Chem &amp; Proc Engn, Yalova, Turkey.</t>
  </si>
  <si>
    <t>yilmaz5@hotmail.com</t>
  </si>
  <si>
    <t>ELSEVIER SCIENCE SA</t>
  </si>
  <si>
    <t>PO BOX 564, 1001 LAUSANNE, SWITZERLAND</t>
  </si>
  <si>
    <t>0925-8388</t>
  </si>
  <si>
    <t>1873-4669</t>
  </si>
  <si>
    <t>J ALLOY COMPD</t>
  </si>
  <si>
    <t>J. Alloy. Compd.</t>
  </si>
  <si>
    <t>MAR 30</t>
  </si>
  <si>
    <t>Chemistry, Physical; Materials Science, Multidisciplinary; Metallurgy &amp; Metallurgical Engineering</t>
  </si>
  <si>
    <t>Chemistry; Materials Science; Metallurgy &amp; Metallurgical Engineering</t>
  </si>
  <si>
    <t>EK1ZS</t>
  </si>
  <si>
    <t>WOS:000393727500060</t>
  </si>
  <si>
    <t>Drifting plastics as outstanding sources of serious ocean pollution</t>
  </si>
  <si>
    <t>Amemiya, K; Kimukai, H; Koizumi, K; Kwon, BG; Saido, K; Kim, KT; Sato, T; Hiaki, T; Mentese, S</t>
  </si>
  <si>
    <t>Amemiya, Keiji; Kimukai, Hideki; Koizumi, Koshiro; Kwon, Bum Gun; Saido, Katsuhiko; Kim, Keug-Tae; Sato, Toshiyuki; Hiaki, Toshihiko; Mentese, Sibel</t>
  </si>
  <si>
    <t>ABSTRACTS OF PAPERS OF THE AMERICAN CHEMICAL SOCIETY</t>
  </si>
  <si>
    <t>[Koizumi, Koshiro] Nihon Univ, Coll Sci &amp; Technol, Funabashi, Chiba, Japan; [Amemiya, Keiji; Saido, Katsuhiko; Sato, Toshiyuki; Hiaki, Toshihiko] Nihon Univ, Narashino, Chiba, Japan; [Kwon, Bum Gun] Chosun Univ, Gwangju, South Korea; [Saido, Katsuhiko] Albatross Alliance, Chiba, Japan; [Kim, Keug-Tae] Univ Suwon, Hwaseong, South Korea; [Mentese, Sibel] Canakkale Onsekiz Mart Univ, Canakkale, Turkey; [Kimukai, Hideki] Sustainable Coastlines Hawaii, Honolulu, HI USA</t>
  </si>
  <si>
    <t>Nihon University; Nihon University; Chosun University; Suwon University; Canakkale Onsekiz Mart University</t>
  </si>
  <si>
    <t>koizumi@chem.ge.cst.nihon-u.ac.jp; katsu.saido@gmail.com</t>
  </si>
  <si>
    <t>mentese, sibel/AAG-6159-2019</t>
  </si>
  <si>
    <t>mentese, sibel/0000-0002-0395-3603</t>
  </si>
  <si>
    <t>0065-7727</t>
  </si>
  <si>
    <t>ABSTR PAP AM CHEM S</t>
  </si>
  <si>
    <t>Abstr. Pap. Am. Chem. Soc.</t>
  </si>
  <si>
    <t>MAR 31</t>
  </si>
  <si>
    <t>Science Citation Index Expanded (SCI-EXPANDED); Conference Proceedings Citation Index - Science (CPCI-S)</t>
  </si>
  <si>
    <t>IN7KQ</t>
  </si>
  <si>
    <t>WOS:000478861201040</t>
  </si>
  <si>
    <t>Environmentally friendly viscosity-modifying agent for self-compacting mortar: Cladophora sp. cellulose nanofibres</t>
  </si>
  <si>
    <t>Admixtures such as viscosity modifying agents and mineral admixtures could be used to regulate the rheological behaviour of the self-compacting concrete mixture. Herein, cellulose nanofibres obtained from Cladophora sp., a bio-waste that pollutes water bodies and threatens the ecosystem, were used to provide appropriate plastic viscosity in self-compacting mortars instead of a traditional viscosity modifying agent known as Welan gum (WG). Within the scope of the study, mini-slump, mini-V funnel, viscosity tests, compressive-flexural strength tests and FE-SEM analyses were performed on the mortar and cement paste specimens prepared. According to the rheological results, increases of up to 93% in plastic viscosity and increases of up to 10 times in yield stress were observed in the CCF-used specimens. On the other hand, increases in yield stress up to seven times and in plastic viscosity up to 37% were determined in the specimens with WG added. Moreover, as a result of mechanical tests, increases of up to 15% in compressive strength and up to 7% increases in flexural strength were observed in the WG-added specimens. While the decreases of up to 4% in compressive strength were observed, increases of up to 12% in flexural strength were detected in the CCF-added specimens.</t>
  </si>
  <si>
    <t>10.1080/19648189.2022.2108502</t>
  </si>
  <si>
    <t>Turk, F; Kaya, M; Saydan, M; Keskin, US</t>
  </si>
  <si>
    <t>Turk, Furkan; Kaya, Murat; Saydan, Murat; Keskin, Ulku Sultan</t>
  </si>
  <si>
    <t>EUROPEAN JOURNAL OF ENVIRONMENTAL AND CIVIL ENGINEERING</t>
  </si>
  <si>
    <t>Algae; Cladophora sp; eutrophication; viscosity modifying agent; self-compacting mortar</t>
  </si>
  <si>
    <t>WELAN GUM; RHEOLOGICAL PROPERTIES; CEMENT PASTES; MECHANICAL PERFORMANCE; YIELD-STRESS; FLY-ASH; CONCRETE; ADMIXTURES; BEHAVIOR; STABILITY</t>
  </si>
  <si>
    <t>[Turk, Furkan; Saydan, Murat; Keskin, Ulku Sultan] Konya Tech Univ, Civil Engn, Konya, Turkey; [Turk, Furkan] Yalova Univ, Civil Engn, Yalova, Turkey; [Kaya, Murat] Aksaray Univ, Biotechnol &amp; Mol Biol, Aksaray, Turkey</t>
  </si>
  <si>
    <t>Konya Technical University; Yalova University; Aksaray University</t>
  </si>
  <si>
    <t>Turk, F (corresponding author), Konya Tech Univ, Dept Civil Engn, TR-42250 Konya, Turkey.</t>
  </si>
  <si>
    <t>fturk@ktun.edu.tr</t>
  </si>
  <si>
    <t>Turk, Furkan/HHD-1681-2022</t>
  </si>
  <si>
    <t>Kaya, Murat/0000-0001-6954-2703; TURK, FURKAN/0000-0002-8156-0354; Saydan, Murat/0000-0003-3598-468X</t>
  </si>
  <si>
    <t>Scientific and Technological Research Council of Turkey (TUBITAK) [220M129]</t>
  </si>
  <si>
    <t>This work was supported by the Scientific and Technological Research Council of Turkey (TUBITAK) under grant number 220M129.</t>
  </si>
  <si>
    <t>1964-8189</t>
  </si>
  <si>
    <t>2116-7214</t>
  </si>
  <si>
    <t>EUR J ENVIRON CIV EN</t>
  </si>
  <si>
    <t>Eur. J. Environ. Civ. Eng.</t>
  </si>
  <si>
    <t>APR 4</t>
  </si>
  <si>
    <t>Engineering, Civil; Engineering, Geological</t>
  </si>
  <si>
    <t>D3PU5</t>
  </si>
  <si>
    <t>WOS:000837587900001</t>
  </si>
  <si>
    <t>Online monitoring of diallyldimethylammonium chloride polymerization</t>
  </si>
  <si>
    <t>Diallyldimethylammonium chloride, which is an acidic salt with numerous applications, was polymerized in water at three different monomer concentrations and at three different pHs which the monomer is in charged form. Reactions were investigated by the automatic continuous online monitoring of polymerization technique. Conversion, molecular weight, and reduced viscosity were monitored. The reaction is found to be second-order with respect to monomer. Rate constants and molecular weights tend to increase with pH and concentration. POLYM. ENG. SCI., 54:1350-1356, 2014. (c) 2013 Society of Plastics Engineers</t>
  </si>
  <si>
    <t>10.1002/pen.23683</t>
  </si>
  <si>
    <t>Akyuz, A; Buyukunsal, G; Paril, A</t>
  </si>
  <si>
    <t>Akyuz, Ali; Buyukunsal, Gulsen; Paril, Ahmet</t>
  </si>
  <si>
    <t>MOLECULAR-WEIGHT; POLY(DIALLYLDIMETHYLAMMONIUM CHLORIDE); COMPLEX-FORMATION; POLYMERS</t>
  </si>
  <si>
    <t>[Akyuz, Ali] Mehmet Akif Ersoy Univ, Bucak Emin Gulmez Tech Sci Vocat Higher Sch, TR-15300 Burdur, Turkey; [Buyukunsal, Gulsen] Istanbul Tech Univ, Dept Chem, TR-34469 Istanbul, Turkey; [Paril, Ahmet] Adel Kalemcilik Ticaret &amp; Sanayi AS, TR-34870 Istanbul, Turkey</t>
  </si>
  <si>
    <t>Mehmet Akif Ersoy University; Istanbul Technical University; Adel Kalemcilik Ticaret ve Sanayi A.S.</t>
  </si>
  <si>
    <t>Paril, A (corresponding author), Adel Kalemcilik Ticaret &amp; Sanayi AS, TR-34870 Istanbul, Turkey.</t>
  </si>
  <si>
    <t>ahmet.paril@adel.com.tr</t>
  </si>
  <si>
    <t>AH0KO</t>
  </si>
  <si>
    <t>WOS:000335809000012</t>
  </si>
  <si>
    <t>ORGANOCHLORINE PESTICIDES, POLYCHLORINATED BIPHENYLS AND POLYBROMINATED DIPHENYL ETHERS IN FRESH WATER FISH SPECIES</t>
  </si>
  <si>
    <t>The production and intensive agricultural or industrial use of persistent organohalogenated pollutants (POPs), such as organochlorine pesticides (OCPs) or polychlorinated biphenyls (PCBs), have led to the widespread contamination of the environment. Polybrominated diphenyl ethers (PBDEs) have come into extensive use as flame retardant additives to plastics, textiles, electronics and paints. Persistent organic pollutants (POPs) have been found in food since the 1960s. Fish is a suitable indicator for the environmental pollution monitoring because they concentrate pollutants in their tissues directly from water, but also through their diet, thus enabling the assessment of transfer of pollutants through the trophic web. Data on the presence and distribution of organohalogenated contaminants in fish and especially edible fish species is therefore important not only from an ecological, but also a human health perspective.</t>
  </si>
  <si>
    <t>Turgay, O</t>
  </si>
  <si>
    <t>Turgay, Ozlem</t>
  </si>
  <si>
    <t>IMPACT, MONITORING AND MANAGEMENT OF ENVIRONMENTAL POLLUTION</t>
  </si>
  <si>
    <t>BROMINATED FLAME RETARDANTS; HYDROXYLATED METABOLITES; BALTIC SEA; FOOD-WEB; 2,2',4,4'-TETRABROMODIPHENYL ETHER; CHLORINATED PESTICIDES; TISSUE DISPOSITION; HEAVY-METALS; EXPOSED RATS; RIVER</t>
  </si>
  <si>
    <t>Univ Kahramanmaras Sutcu Imam, Dept Food Sci &amp; Technol, Kahramanmaras, Turkey</t>
  </si>
  <si>
    <t>Kahramanmaras Sutcu Imam University</t>
  </si>
  <si>
    <t>Turgay, O (corresponding author), Univ Kahramanmaras Sutcu Imam, Dept Food Sci &amp; Technol, Kahramanmaras, Turkey.</t>
  </si>
  <si>
    <t>ozlem@ksu.edu.tr</t>
  </si>
  <si>
    <t>NOVA SCIENCE PUBLISHERS, INC</t>
  </si>
  <si>
    <t>HAUPPAUGE</t>
  </si>
  <si>
    <t>400 OSER AVE, STE 1600, HAUPPAUGE, NY 11788-3635 USA</t>
  </si>
  <si>
    <t>978-1-60876-487-7</t>
  </si>
  <si>
    <t>POLLUT SCI TECHNOL A</t>
  </si>
  <si>
    <t>BTD36</t>
  </si>
  <si>
    <t>WOS:000286537000013</t>
  </si>
  <si>
    <t>Plastic and reconstructive breast surgery techniques in the surgical treatment of idiopathic granulomatous mastitis: a single-center experience</t>
  </si>
  <si>
    <t>Purpose: Idiopathic granulomatous mastitis (IGM) is a chronic inflammatory breast disease with unknown cause and undefined treatment. Since it has a high recurrence rate, wide excisions are recommended for surgical treatment. This study aims to discuss the selection and outcomes of plastic and reconstructive breast surgery techniques following wide excision. Methods: This study examines the prospectively recorded surgical outcomes of 18 patients who were diagnosed with IGM between 2020 and 2022. Following histopathological confirmation of all patients' diagnoses, the most appropriate technique was used in conjunction with wide surgical excision. Preoperative standing drawings were made for all patients and operations were performed by the same surgical team under general anesthesia. All patients were monitored for 6 months for postoperative complications, recurrence, and aesthetic outcomes. Results: The patients underwent surgery for recurrence (n = 8), recurrent abscess (n = 4), and persistent disease (n = 6), in that order. Patients were treated with dermoglandular flap transposition (n = 6), Wise pattern reduction mammoplasty (n = 3), vertical reduction skin incision (n = 3), inferior pedicle with Wise pattern reduction mammoplasty (n = 4), and free nipple reduction mammoplasty (n = 2) techniques following partial mastectomy. No major complications developed postoperatively. Two patients with recurrence benefited from topical steroid injections. Conclusion: A wide excision is required to prevent IGM recurrence during surgery. After wide excision, the simplest and most easily applicable plastic and reconstructive breast surgery techniques can yield successful results with acceptable complication and recurrence rates. In technique selection, we recommend an individualized surgical approach for effective patient management.</t>
  </si>
  <si>
    <t>10.4174/astr.2022.103.5.253</t>
  </si>
  <si>
    <t>Dokcu, S; Basceken, SI</t>
  </si>
  <si>
    <t>Dokcu, Seref; Basceken, Salim Ilksen</t>
  </si>
  <si>
    <t>ANNALS OF SURGICAL TREATMENT AND RESEARCH</t>
  </si>
  <si>
    <t>Granulomatous mastitis; Oncoplastic breast surgery; Reduction mammoplasty; Therapeutic mammoplasty</t>
  </si>
  <si>
    <t>COHORT</t>
  </si>
  <si>
    <t>[Dokcu, Seref; Basceken, Salim Ilksen] Hlth Sci Univ, Dept Surg Oncol, Gazi Yasargil Training &amp; Res Hosp, TR-21010 Diyarbakir, Turkey</t>
  </si>
  <si>
    <t>Diyarbakir Training &amp; Research Hospital</t>
  </si>
  <si>
    <t>Dokcu, S (corresponding author), Hlth Sci Univ, Dept Surg Oncol, Gazi Yasargil Training &amp; Res Hosp, TR-21010 Diyarbakir, Turkey.</t>
  </si>
  <si>
    <t>serefdokcu@hotmail.com</t>
  </si>
  <si>
    <t>Basceken, Salim Ilksen/T-4301-2018; Dokcu, Şeref/HJI-8426-2023</t>
  </si>
  <si>
    <t>Basceken, Salim Ilksen/0000-0002-0918-3208; Dokcu, Şeref/0000-0003-1807-8108</t>
  </si>
  <si>
    <t>KOREAN SURGICAL SOCIETY</t>
  </si>
  <si>
    <t>3304HO, 101 DONG, BROWNSTONE SEOUL, 335, JUNGMIN-DONG, JUNG-GU, SEOUL, 100-859, SOUTH KOREA</t>
  </si>
  <si>
    <t>2288-6575</t>
  </si>
  <si>
    <t>2288-6796</t>
  </si>
  <si>
    <t>ANN SURG TREAT RES</t>
  </si>
  <si>
    <t>Ann. Surg. Treat. Res.</t>
  </si>
  <si>
    <t>Surgery</t>
  </si>
  <si>
    <t>D5MO4</t>
  </si>
  <si>
    <t>WOS:000969175500001</t>
  </si>
  <si>
    <t>Mechanical and fracture characteristics of self-compacting concretes containing different percentage of plastic waste powder</t>
  </si>
  <si>
    <t>This study addresses the mechanical and fracture properties of self-compacting concretes (SCCs) containing plastic waste (PW) powder in varying amounts used as a cement replacement material. Partial amount of cement was replaced by PW powder at 5%, 10%, 15%, 20% and 25% by weight so as to design six SCC mixtures with a constant slump flow of 700 30 mm, total binder content of 550 kg/m(3) and water-to-binder (w/b) ratio of 0.35. Mechanical characteristics of SCCs were tested for compressive and splitting tensile strengths, net flexural strength as well as modulus of elasticity at 28 day. Moreover, failure characteristics of the concrete were monitored via three-point bending test on the notched beams. The findings indicated that mechanical properties of PVC powder modified SCCs decreased while the concretes became less brittle. (C) 2017 Published by Elsevier Ltd.</t>
  </si>
  <si>
    <t>10.1016/j.conbuildmat.2017.02.139</t>
  </si>
  <si>
    <t>Gesoglu, M; Guneyisi, E; Hansu, O; Etli, S; Alhassan, M</t>
  </si>
  <si>
    <t>Gesoglu, Mehmet; Guneyisi, Erhan; Hansu, Osman; Etli, Serkan; Alhassan, Mahammed</t>
  </si>
  <si>
    <t>PW powder; Self-compacting concrete; Fracture energy; Compressive strength</t>
  </si>
  <si>
    <t>FINE AGGREGATE; SILICA FUME; POLYETHYLENE TEREPHTHALATE; PET BOTTLES; SIZE; BRITTLENESS; REPLACEMENT; BEHAVIOR; MORTARS; MIXTURE</t>
  </si>
  <si>
    <t>[Hansu, Osman] Gaziantep Univ, Civil Engn Dept, TR-27310 Gaziantep, Turkey; [Etli, Serkan] Munzur Univ, Civil Engn Dept, TR-62000 Tunceli, Turkey; [Gesoglu, Mehmet; Guneyisi, Erhan; Alhassan, Mahammed] Akad Pk Eng &amp; Const Inc, TR-27310 Gazintep, Turkey</t>
  </si>
  <si>
    <t>Gaziantep University; Munzur University</t>
  </si>
  <si>
    <t>Gesoglu, M (corresponding author), Akad Pk Eng &amp; Const Inc, TR-27310 Gazintep, Turkey.</t>
  </si>
  <si>
    <t>mgesoglu27@gmail.com</t>
  </si>
  <si>
    <t>Güneyisi, Erhan/GLS-8489-2022; Etli, Serkan/AAG-4496-2019; Hansu, Osman/AAG-5422-2020</t>
  </si>
  <si>
    <t>Etli, Serkan/0000-0003-3093-4106; Hansu, Osman/0000-0003-1638-4304; Guneyisi, Erhan/0000-0003-2666-2769</t>
  </si>
  <si>
    <t>ER4EP</t>
  </si>
  <si>
    <t>WOS:000398752200057</t>
  </si>
  <si>
    <t>If you continue to smoke, we may have a problem: Smoking's effects on plastic surgery</t>
  </si>
  <si>
    <t>Smoking causes various aero-digestive neoplasms, some cardiovascular diseases, respiratory pathologies, and cardiovascular disorders. Surgeons have observed an association between impaired wound healing and smoking. In plastic surgery, cigarette smoking should be forbidden before and after surgery to prevent poor surgical results. In this retrospective study, we presented four major complications related with continuous smoking immediately after surgery. Although we have strongly forbidden smoking for every patient, 4 patients did not follow our advice and continued to smoke. One of them had a breast reconstruction with a pedicled transverse rectus abdominis musculocutaneous flap. Another patient had an abdominoplasty. The third and fourth patients had digital replantation and they were chronic smokers. After their poor surgical outcomes, these heavy smokers received close supervision, but managed to smoke, anyway. Education, psychologic consultation, and sometimes refusing to perform aesthetic or reconstructive surgery are required to minimize postoperative complications.</t>
  </si>
  <si>
    <t>10.1007/s00266-002-2045-3</t>
  </si>
  <si>
    <t>Akoz, T; Akan, M; Yildirim, S</t>
  </si>
  <si>
    <t>AESTHETIC PLASTIC SURGERY</t>
  </si>
  <si>
    <t>smoking; flap; necrosis; nicotine</t>
  </si>
  <si>
    <t>EXPERIMENTAL SKIN FLAPS; CIGARETTE-SMOKING; BREAST RECONSTRUCTION; TRAM FLAP; SCIENTIFIC RATIONALE; TOBACCO ABSTENTION; BLOOD-FLOW; COMPLICATIONS; MICROSURGERY; NICOTINE</t>
  </si>
  <si>
    <t>Akoz, T (corresponding author), Suadiye,Bagdat Cad Kosk Apt 428-3, TR-81082 Istanbul, Turkey.</t>
  </si>
  <si>
    <t>SPRINGER-VERLAG</t>
  </si>
  <si>
    <t>175 FIFTH AVE, NEW YORK, NY 10010 USA</t>
  </si>
  <si>
    <t>0364-216X</t>
  </si>
  <si>
    <t>AESTHET PLAST SURG</t>
  </si>
  <si>
    <t>Aesthet. Plast. Surg.</t>
  </si>
  <si>
    <t>NOV-DEC</t>
  </si>
  <si>
    <t>647EQ</t>
  </si>
  <si>
    <t>WOS:000181079800015</t>
  </si>
  <si>
    <t>In situ investigation of strain heterogeneity and microstructural shear bands in rolled Magnesium AZ31</t>
  </si>
  <si>
    <t>A comprehensive characterization of microstructural strain accommodation is performed on rolled Magnesium AZ31 tensioned in the rolling direction (RD). Scanning microscopic digital image correlation (SMDIC) is applied over macroscopic areas, strain-mapping similar to 10(6) grains in situ at their natural scale. Further, for rigorous volumetric interpretation, two samples have been tested in RD-tension to monitor both lateral material planes (perpendicular to transverse and normal directions of the plate) with SMDIC. Very different strain localization patterns are observed on the two faces. Each pattern family is isolated by logical filtering for a quantitative analysis of their shearing orientations, allowing volumetrically-compatible and surface-mediated structures to be distinguished. It is found that the most intense strain localization takes place on microstructural bands in a rhombic pattern that are inherited from the rolling process. These are found to activate at the onset of the elastic-plastic transition and rapidly incur the heaviest strains, primarily through basal slip due to the weaker texture of the band grains. The deformation of the bulk matrix surrounding these bands exhibits localization patterns consistent with the predominant activity of basal and prism slip. The two-face measurement provides a unique handle on the degree of surface effects and shows them to be significant in this case of intense plastic anisotropy and directional shear banding. It is directly shown that the activity of the microstructural bands suppresses the r-ratio, the primary macroscopic measure of anisotropy in these plates, as suspected in the literature. The importance of accounting for the spatial-coordination of orientations in these highly-anisotropic polycrystals is clearly presented.</t>
  </si>
  <si>
    <t>10.1016/j.ijplas.2019.02.008</t>
  </si>
  <si>
    <t>Ucel, IB; Kapan, E; Turkoglu, O; Aydiner, CC</t>
  </si>
  <si>
    <t>Ucel, I. Bugra; Kapan, Enver; Turkoglu, Olcay; Aydiner, C. Can</t>
  </si>
  <si>
    <t>INTERNATIONAL JOURNAL OF PLASTICITY</t>
  </si>
  <si>
    <t>Strain heterogeneity; Shear bands; Plastic anisotropy; Digital image correlation; Magnesium AZ31</t>
  </si>
  <si>
    <t>DYNAMIC RECRYSTALLIZATION; RARE-EARTH; DEFORMATION MECHANISMS; TEXTURE EVOLUTION; ALLOY; MG; SLIP; DUCTILITY; MODEL</t>
  </si>
  <si>
    <t>[Ucel, I. Bugra; Kapan, Enver; Turkoglu, Olcay; Aydiner, C. Can] Bogazici Univ, Dept Mech Engn, TR-34342 Istanbul, Turkey</t>
  </si>
  <si>
    <t>Aydiner, CC (corresponding author), Bogazici Univ, Makina Muhendisligi Bolumu, Guney Kampus, TR-34342 Istanbul, Turkey.</t>
  </si>
  <si>
    <t>can.aydiner@boun.edu.tr</t>
  </si>
  <si>
    <t>Kapan, Enver/HTL-5516-2023; Aydıner, Cahit C/O-9618-2017; Türkoğlu, Olcay/ABE-7062-2021</t>
  </si>
  <si>
    <t>Aydıner, Cahit C/0000-0001-8256-6742; Türkoğlu, Olcay/0000-0001-9273-0542; Kapan, Enver/0009-0007-1480-1035</t>
  </si>
  <si>
    <t>Scientific and Technological Research Council of Turkey (TUBITAK) [114M215]</t>
  </si>
  <si>
    <t>This work was supported by the Scientific and Technological Research Council of Turkey (TUBITAK), Grant No: 114M215. C. C. Aydiner gratefully acknowledges M.R. Barnett of Deakin University for an informative discussion on the nature of shear bands.</t>
  </si>
  <si>
    <t>0749-6419</t>
  </si>
  <si>
    <t>1879-2154</t>
  </si>
  <si>
    <t>INT J PLASTICITY</t>
  </si>
  <si>
    <t>Int. J. Plast.</t>
  </si>
  <si>
    <t>Engineering, Mechanical; Materials Science, Multidisciplinary; Mechanics</t>
  </si>
  <si>
    <t>Engineering; Materials Science; Mechanics</t>
  </si>
  <si>
    <t>HZ9DV</t>
  </si>
  <si>
    <t>WOS:000469156900012</t>
  </si>
  <si>
    <t>Water Harvesting for Improved Water Productivity in Dry Environments of the Mediterranean Region Case study: Pistachio in Turkey</t>
  </si>
  <si>
    <t>Low rainfall, water scarcity and land degradation severely intimidate the production capacities of the rangelands in the arid environments. Water harvesting focuses on improving the productive use of rainwater on the local scale (field to subcatchment scale) before the runoff water leaves the geographical unit in question. The aim is to mitigate the effects of temporal water shortages to cover both domestic and agricultural needs. This paper provides a review on water harvesting techniques focusing on microcatchment methods, and information on performance of a small-basin water harvesting system (negarim) under a typical arid environment in Turkey as a case study. In the negarim case study, we analysed rainfall, runoff, catchment area, soil water storage and crop evapotranspiration. The microcatchment area (36m(2)) included five surface treatment methods (natural, plastic cover, stone cover, hay cover and compaction), which were studied in a pistachio plantation by monitoring soil water balance in the root zone. The overall efficiency of the water harvesting system was determined as the ratio of the amount of water stored and used by the crop to the amount of rainfall received in the catchment area. It was demonstrated that the overall efficiency of the system varied from 2.9% to 79% depending on the surface treatments and the root zone capacity. Plastic cover had the greatest efficiency. Gains in runoff improvement were lost when the soil moisture in the cultivated area was near field capacity. Surface treatments had a significant effect on plant height and stem diameter. Plant height with different treatments was 158cm with plastic cover, 128cm with surface compaction, 121cm with hay cover, 117cm with stone cover and 102cm of control. Among the surface treatments, plastic cover was superior to the other treatments on plant growth, but the use of plastic may cause environmental problems.</t>
  </si>
  <si>
    <t>10.1111/jac.12070</t>
  </si>
  <si>
    <t>Yazar, A; Kuzucu, M; Celik, I; Sezen, SM; Jacobsen, SE</t>
  </si>
  <si>
    <t>Yazar, A.; Kuzucu, M.; Celik, I.; Sezen, S. M.; Jacobsen, S. -E.</t>
  </si>
  <si>
    <t>JOURNAL OF AGRONOMY AND CROP SCIENCE</t>
  </si>
  <si>
    <t>microcatchment; Pistachio (Pistacia vera); runoff; water storage</t>
  </si>
  <si>
    <t>SUPPLEMENTAL IRRIGATION; RAINWATER; CLIMATE; RUNOFF; SYSTEM; AREAS</t>
  </si>
  <si>
    <t>[Yazar, A.] Cukurova Univ, Irrigat &amp; Agr Struct Dept, TR-01330 Adana, Turkey; [Kuzucu, M.] Pistachio Res Inst, Gaziantep, Turkey; [Celik, I.] Cukurova Univ, Soil Sci &amp; Plant Nutr Dept, TR-01330 Adana, Turkey; [Sezen, S. M.] Soil &amp; Water Resources Res Inst, Tarsus, Turkey; [Jacobsen, S. -E.] Univ Copenhagen, Fac Life Sci, Dept Plant &amp; Environm Sci, Taastrup, Denmark</t>
  </si>
  <si>
    <t>Cukurova University; Ministry of Food, Agriculture &amp; Livestock - Turkey; Cukurova University; Ministry of Food, Agriculture &amp; Livestock - Turkey; University of Copenhagen</t>
  </si>
  <si>
    <t>Yazar, A (corresponding author), Cukurova Univ, Fac Agr, Irrigat &amp; Agr Struct Dept, TR-01330 Adana, Turkey.</t>
  </si>
  <si>
    <t>yazarat@cu.edu.tr</t>
  </si>
  <si>
    <t>Celik, ismail/E-7937-2018; Jacobsen, Sven-Erik/L-7351-2014; Sezen, Metin/G-5615-2018</t>
  </si>
  <si>
    <t xml:space="preserve">Jacobsen, Sven-Erik/0000-0002-9596-929X; </t>
  </si>
  <si>
    <t>0931-2250</t>
  </si>
  <si>
    <t>1439-037X</t>
  </si>
  <si>
    <t>J AGRON CROP SCI</t>
  </si>
  <si>
    <t>J. Agron. Crop Sci.</t>
  </si>
  <si>
    <t>Agronomy</t>
  </si>
  <si>
    <t>AP0SD</t>
  </si>
  <si>
    <t>WOS:000341773200005</t>
  </si>
  <si>
    <t>Assessment of self-sensing capability of Engineered Cementitious Composites within the elastic and plastic ranges of cyclic flexural loading</t>
  </si>
  <si>
    <t>Engineered Cementitious Composites (ECC) are emerging construction materials with proven mechanical and durability characteristics. These outstanding properties make the material an attractive choice for different infrastructure types. But the growing use of ECCs brings about the need to monitor the health of the structures that employ them. This study therefore focused on the self-sensing capability of ECC with different carbon-based materials (multi-walled carbon nanotubes [CNT], graphene nanoplatelets [GNP], carbon black [CB] and carbon fibers [CM when subjected to repetitive loading and unloading cycles within the elastic and plastic ranges. Tests were conducted on beam specimens loaded and unloaded under four-point bending loading. Within the elastic range, 30% of the ultimate flexural strength was decided for application on the tested specimens. For the plastic range, prismatic specimens prepared for cyclic flexural loading at high levels were loaded up to 70% of their ultimate flexural strength. Experimental findings showed that for all proposed ECC mixtures, self-sensing of imposed damage (i.e. loading) was successful for both elastic and plastic ranges, while the self-sensing of load removal (i.e. unloading) in the elastic range was not achieved as successfully. This was most probably due to very small imposed damage and continuously increasing intrinsic electrical resistivity of individual carbon based materials under loading, which cannot be discharged upon unloading. Compared to other carbon-based materials, CF utilization during ECC production was the most effective method for self sensing of cyclic loading and unloading in the elastic and plastic ranges. Improving the proven superior mechanical and durability properties of ECC materials with self-sensing characteristic will multiply the benefits for truly sustainable infrastructures. (C) 2017 Elsevier Ltd. All rights reserved.</t>
  </si>
  <si>
    <t>10.1016/j.conbuildmat.2017.03.236</t>
  </si>
  <si>
    <t>Al-Dahawi, A; Yildirim, G; Ozturk, O; Sahmaran, M</t>
  </si>
  <si>
    <t>Al-Dahawi, Ali; Yildirim, Gurkan; Ozturk, Oguzhan; Sahmaran, Mustafa</t>
  </si>
  <si>
    <t>Engineered Cementitious Composites (ECC); Self-sensing; Cyclic loading; Carbon-based materials</t>
  </si>
  <si>
    <t>HEALING CAPABILITY; COMPRESSION</t>
  </si>
  <si>
    <t>[Al-Dahawi, Ali] Gaziantep Univ, Dept Civil Engn, Gaziantep, Turkey; [Al-Dahawi, Ali] Univ Technol Baghdad, Dept Bldg &amp; Construct Engn, Baghdad, Iraq; [Yildirim, Gurkan] Adana Sci &amp; Technol Univ, Dept Civil Engn, Adana, Turkey; [Ozturk, Oguzhan] Selcuk Univ, Dept Civil Engn, Konya, Turkey; [Sahmaran, Mustafa] Gazi Univ, Dept Civil Engn, Ankara, Turkey</t>
  </si>
  <si>
    <t>Gaziantep University; University of Technology- Iraq; Adana Alparslan Turkes Science &amp; Technology University; Selcuk University; Gazi University</t>
  </si>
  <si>
    <t>Yildirim, G (corresponding author), Adana Sci &amp; Technol Univ, Dept Civil Engn, Adana, Turkey.</t>
  </si>
  <si>
    <t>gyildirim@adanabtu.edu.tr</t>
  </si>
  <si>
    <t>Sahmaran, Mustafa/N-8693-2018; YILDIRIM, GURKAN/AAG-4559-2019; Al-Dahawi, Ali Majeed/C-2853-2018</t>
  </si>
  <si>
    <t>Al-Dahawi, Ali Majeed/0000-0001-7836-1525</t>
  </si>
  <si>
    <t>Scientific and Technical Research Council of Turkey (TUBITAK) [114R043]</t>
  </si>
  <si>
    <t>The authors gratefully acknowledge the financial assistance of the Scientific and Technical Research Council of Turkey (TUBITAK) provided under Project: 114R043.</t>
  </si>
  <si>
    <t>EV6JX</t>
  </si>
  <si>
    <t>WOS:000401876800001</t>
  </si>
  <si>
    <t>A COMPARATIVE ECONOMIC ANALYSIS FOR MEDICAL WASTE TREATMENT OPTIONS</t>
  </si>
  <si>
    <t>Management practices for medical waste should be conducted using the best available techniques in order to minimize harmful effects of medical waste. Most common practices in Turkey were reported to be burying with lime and incineration. Although incineration stood out as a better option in terms of environmental and public health, it produced air pollutants such as dioxin, furan and co-planar PCBs as a result of incomplete burning of plastics. Consequently three options, namely converter, autoclave, and ozonator technologies were investigated for economic feasibility in the medical waste treatment field. ozonator technology was concluded to be the economically best option.</t>
  </si>
  <si>
    <t>10.5277/epe150310</t>
  </si>
  <si>
    <t>Okten, HE; Corum, A; Demir, HH</t>
  </si>
  <si>
    <t>Okten, Hatice Eser; Corum, Adnan; Demir, Hacer Handan</t>
  </si>
  <si>
    <t>ENVIRONMENT PROTECTION ENGINEERING</t>
  </si>
  <si>
    <t>HEALTH; MANAGEMENT</t>
  </si>
  <si>
    <t>[Okten, Hatice Eser; Corum, Adnan] Bahcesehir Univ, Dept Environm Engn, Istanbul, Turkey; [Demir, Hacer Handan] Bahcesehir Univ, Vocat Sch, Istanbul, Turkey</t>
  </si>
  <si>
    <t>Bahcesehir University; Bahcesehir University; Ministry of National Education - Turkey</t>
  </si>
  <si>
    <t>Okten, HE (corresponding author), Bahcesehir Univ, Dept Environm Engn, Istanbul, Turkey.</t>
  </si>
  <si>
    <t>eser.okten@bahcesehir.edu.tr</t>
  </si>
  <si>
    <t>Demir, Hacer Handan/HSF-3686-2023; Okten, Hatice/AAA-5810-2022</t>
  </si>
  <si>
    <t>Okten, Hatice/0000-0001-7511-940X</t>
  </si>
  <si>
    <t>TECHNICAL UNIV WROCLAW</t>
  </si>
  <si>
    <t>WROCLAW</t>
  </si>
  <si>
    <t>WYBRZEZE WYSPIANSKIEGO 27, EXPORT-IMPORT DIVISION, 50-370 WROCLAW, POLAND</t>
  </si>
  <si>
    <t>0324-8828</t>
  </si>
  <si>
    <t>ENVIRON PROT ENG</t>
  </si>
  <si>
    <t>Environ. Prot. Eng.</t>
  </si>
  <si>
    <t>Engineering, Environmental</t>
  </si>
  <si>
    <t>CU2LH</t>
  </si>
  <si>
    <t>WOS:000363354500010</t>
  </si>
  <si>
    <t>Macro marine litter survey of sandy beaches along the Cox's Bazar Coast of Bay of Bengal, Bangladesh: Land-based sources of solid litter pollution</t>
  </si>
  <si>
    <t>Macro-sized marine litter (&gt;2.5 cm) was collected, characterized, and enumerated along the Cox's Bazar Coast, Bangladesh. Marine litter abundance was converted to density (number of items/m2). Beach cleanliness was evaluated using the clean-coast index (CCI). Plastic polythene bags were the most abundant litter items, followed by plastic cups. Total marine litter abundance was 54,401 +/- 184 items. Major sources of marine litter were from tourism, fishery and residential activities. Of 10 sites surveyed, two were classified as dirty, two were moderate, four were clean and two were very clean using the CCI. Marine litter pollution along the Cox's Bazar Coast represents a potential threat to coastal and marine environments. This baseline study will help to establish mitigation strategies that are urgently required to reduce marine litter pollution along the Cox's Bazar Coast.</t>
  </si>
  <si>
    <t>10.1016/j.marpolbul.2021.113246</t>
  </si>
  <si>
    <t>Rakib, MRJ; Ertas, A; Walker, TR; Rule, MJ; Khandaker, MU; Idris, AM</t>
  </si>
  <si>
    <t>Rakib, Md Refat Jahan; Ertas, Alperen; Walker, Tony R.; Rule, Michael J.; Khandaker, Mayeen Uddin; Idris, Abubakr M.</t>
  </si>
  <si>
    <t>Marine litter pollution; Clean-coast index (CCI); Cox's Bazar coast; Bay of Bengal; Bangladesh</t>
  </si>
  <si>
    <t>PLASTIC DEBRIS; ALANG-SOSIYA; ACCUMULATION; WASTE; QUANTIFICATION; CLASSIFICATION; MICROPLASTICS; ENVIRONMENT; FRAMEWORK; SEDIMENTS</t>
  </si>
  <si>
    <t>[Rakib, Md Refat Jahan] Noakhali Sci &amp; Technol Univ, Fac Sci, Dept Fisheries &amp; Marine Sci, Noakhali, Bangladesh; [Ertas, Alperen] Ege Univ, Fac Sci, Dept Biol, TR-35100 Izmir, Turkey; [Walker, Tony R.] Dalhousie Univ, Sch Resource &amp; Environm Studies, Halifax, NS, Canada; [Khandaker, Mayeen Uddin] Sunway Univ, Ctr Appl Phys &amp; Radiat Technol, Sch Engn &amp; Technol, Bandar Sunway 47500, Selangor, Malaysia; [Idris, Abubakr M.] King Khalid Univ, Coll Sci, Dept Chem, Abha 61431, Saudi Arabia; [Idris, Abubakr M.] King Khalid Univ, Res Ctr Adv Mat Sci RCAMS, Abha, Saudi Arabia</t>
  </si>
  <si>
    <t>Noakhali Science &amp; Technology University (NSTU); Ege University; Dalhousie University; Sunway University; King Khalid University; King Khalid University</t>
  </si>
  <si>
    <t>Rakib, MRJ (corresponding author), Noakhali Sci &amp; Technol Univ, Fac Sci, Dept Fisheries &amp; Marine Sci, Noakhali, Bangladesh.</t>
  </si>
  <si>
    <t>rifatjahanrakib@gmail.com</t>
  </si>
  <si>
    <t>Khandaker, Mayeen Uddin/F-5376-2011; Idris, Abubakr M./E-6452-2012; ERTAŞ, Alperen/AAC-6271-2021</t>
  </si>
  <si>
    <t>Khandaker, Mayeen Uddin/0000-0003-3772-294X; Idris, Abubakr M./0000-0003-4038-4769; ERTAŞ, Alperen/0000-0001-8510-6100; Walker, Tony/0000-0001-9008-0697</t>
  </si>
  <si>
    <t>Deanship of Scientific Research at King Khalid University [R.G.P.2/33/42]</t>
  </si>
  <si>
    <t>Deanship of Scientific Research at King Khalid University</t>
  </si>
  <si>
    <t>The authors extend their appreciation to the Deanship of Scientific Research at King Khalid University for funding this work through Group Research Project under grant number (R.G.P.2/33/42). The authors gratefully acknowledge to Md. Resel Hossain and Mohammod Habib for providing facilities for this study.</t>
  </si>
  <si>
    <t>XY7NG</t>
  </si>
  <si>
    <t>WOS:000737154100001</t>
  </si>
  <si>
    <t>Superporous nanocarbon materials upcycled from polyethylene terephthalate waste for scalable energy storage</t>
  </si>
  <si>
    <t>Plastic pollution is becoming a universal threat affecting wildlife, marines, the atmosphere, soil, and human wellbeing. The insufficient waste management traditions, along with a growth in the throw-away and single -use culture, exacerbate the problem. Meanwhile, the fast-growing energy storage industry, such as the lithium -ion battery (LIB), requires renewable resources to provide a steady and reliable production supply chain. This work introduces a scalable industrial mature route to transform polyethylene terephthalate (PET) plastic waste into a superporous activated carbon material for rechargeable LIBs. We characterized the analytical properties of the waste-derived carbon material and used it to develop LIB anodes. Then, we generated carbon-silicon com-posite anodes by impregnating silicon nanoparticles (SiNPs) into the superporous connected architecture network. We conducted density functional-based tight-binding (DFTB+) quantum chemical calculations to elucidate the binding interactions between PET and SiNPs. By implementing electrochemical impedance spec-troscopy (EIS), galvanostatic intermittent titration technique (GITT), and differential capacity analysis (DCA), we investigated the root causes of the degradation mechanisms of the material. Finally, our techno-economical study highlights the merits of a sustainable approach for transferring waste materials into valuable products such as energy storage. This work can create further research and development for recycling plastic wastes towards scalable stationary battery storage with the benefits of environmental sustainability and circular economics.</t>
  </si>
  <si>
    <t>10.1016/j.est.2022.106329</t>
  </si>
  <si>
    <t>Mirjalili, A; Dong, B; Zerrin, T; Akhavi, AA; Kurban, M; Ozkan, CS; Ozkan, M</t>
  </si>
  <si>
    <t>Mirjalili, Arash; Dong, Bo; Zerrin, Taner; Akhavi, Amir-Ali; Kurban, Mustafa; Ozkan, Cengiz S.; Ozkan, Mihrimah</t>
  </si>
  <si>
    <t>JOURNAL OF ENERGY STORAGE</t>
  </si>
  <si>
    <t>Plastic waste; PET; Upcycling; Li-ion battery; Silicon; rGO; EIS; GITT; Failure analysis</t>
  </si>
  <si>
    <t>GRAPHENE OXIDE; SILICON; ANODES; TRANSFORMATION; PERFORMANCE; REDUCTION; FILM; LI</t>
  </si>
  <si>
    <t>[Mirjalili, Arash; Ozkan, Cengiz S.; Ozkan, Mihrimah] Univ Calif Riverside, Dept Chem, 900 Univ Ave, Riverside, CA 92521 USA; [Dong, Bo; Ozkan, Mihrimah] Univ Calif Riverside, Dept Elect &amp; Comp Engn, 900 Univ Ave, Riverside, CA 92521 USA; [Zerrin, Taner; Akhavi, Amir-Ali; Ozkan, Cengiz S.] Univ Calif Riverside, Mech Engn Dept Mat Sci &amp; Engn Program, 900 Univ Ave, Riverside, CA 92521 USA; [Kurban, Mustafa] Kirsehir Ahi Evran Univ, Dept Elect &amp; Elect Engn, TR-40100 Kirsehir, Turkey; [Ozkan, Cengiz S.] Univ Calif Riverside, Dept Mech Engn, 900 Univ Ave, Riverside, CA 92521 USA</t>
  </si>
  <si>
    <t>University of California System; University of California Riverside; University of California System; University of California Riverside; University of California System; University of California Riverside; Ahi Evran University; University of California System; University of California Riverside</t>
  </si>
  <si>
    <t>Ozkan, M (corresponding author), Univ Calif Riverside, Dept Elect &amp; Comp Engn, 900 Univ Ave, Riverside, CA 92521 USA.;Ozkan, CS (corresponding author), Univ Calif Riverside, Dept Mech Engn, 900 Univ Ave, Riverside, CA 92521 USA.</t>
  </si>
  <si>
    <t>cengiz.ozkan@ucr.edu; mihri.ozkan@ucr.edu</t>
  </si>
  <si>
    <t>Office of the Vice-Chancellor for Research at the University of California, Riverside; Vantage Advanced Technologies LLC [16060655, 16040361]; National Science Foundation [CHE-9709036]</t>
  </si>
  <si>
    <t>Office of the Vice-Chancellor for Research at the University of California, Riverside; Vantage Advanced Technologies LLC; National Science Foundation(National Science Foundation (NSF))</t>
  </si>
  <si>
    <t>The authors gratefully acknowledge financial support from the Office of the Vice-Chancellor for Research at the University of California, Riverside, and Vantage Advanced Technologies LLC (award numbers 16060655 and 16040361) . We further acknowledge the National Sci-ence Foundation grant (award number CHE-9709036) under the CRIF Program for the acquisition of a Raman Spectrometer. The authors would also like to thank the staff members at the Central Facility for Advanced Microscopy and Microanalysis (CFAMM) and the Analytical Chemistry Instrumentation Facility (ACIF) at UCR for assistance in analytical microscopy and optical spectroscopy measurements. Finally, DFTB+ and energy minimization computations were performed at the TUBITAK ULAKBIM High Performance and Grid Computing Center (TRUBA resources) in Ankara, Turkey.</t>
  </si>
  <si>
    <t>2352-152X</t>
  </si>
  <si>
    <t>2352-1538</t>
  </si>
  <si>
    <t>J ENERGY STORAGE</t>
  </si>
  <si>
    <t>J. Energy Storage</t>
  </si>
  <si>
    <t>Energy &amp; Fuels</t>
  </si>
  <si>
    <t>7Q9QU</t>
  </si>
  <si>
    <t>WOS:000909717500001</t>
  </si>
  <si>
    <t>The Effects of Lactic Acid Bacteria and Enzyme Mixture Inoculants on Fermentation and Nutrient Digestibility of Sunflower Silage</t>
  </si>
  <si>
    <t>This study was carried out to determine the effects of lactic acid bacteria and lactic acid bacteria+enzyme mixture inoculants as silage additives, on the fermentation and nutrient digestibility in lambs fed sunflower silage. Pioneer 1174 (Iowa, USA), and Sil-All (Alltech, UK) were used as lactic acid bacteria and lactic acid bacteria+enzyme mixture inoculants, respectively. Inoculants were applied at 6.00 log10 cfu/g silage levels. Sunflower was harvested at the dough stage and ensiled in 120 litre capacity plastic containers. Three plastic container from each group were sampled for chemical and microbiological analyses on day 60 after ensiling. In addition, in vivo nutrition digestibility of silages were determined. Both inoculants increased fermentation qualities of sunflower. Lactic acid bacteria+enzyme decreased (P &lt; 0.002) neutral detergent fiber content and increased in vivo organic matter and acid detergent fiber digestibility of silages (P &lt; 0.05).</t>
  </si>
  <si>
    <t>Ozduven, ML; Koc, F; Polat, C; Coskuntuna, L</t>
  </si>
  <si>
    <t>Ozduven, Mehmet Levent; Koc, Fisun; Polat, Cemal; Coskuntuna, Levent</t>
  </si>
  <si>
    <t>Sunflower silages; Lactic acid bacterial inoculants; Lactic acid bacteria plus enzyme inoculants; Fermentation; Digestibility</t>
  </si>
  <si>
    <t>RUMEN DEGRADABILITY CHARACTERISTICS; NUTRITIVE-VALUE; FORMIC-ACID; CORN-SILAGE; AEROBIC STABILITY; ALFALFA SILAGE; MAIZE SILAGE; ORCHARDGRASS; ADDITIVES; QUALITY</t>
  </si>
  <si>
    <t>[Ozduven, Mehmet Levent; Koc, Fisun; Polat, Cemal; Coskuntuna, Levent] Namik Kemal Univ, Fac Agr, Dept Anim Sci, Tekirdag, Turkey</t>
  </si>
  <si>
    <t>Namik Kemal University</t>
  </si>
  <si>
    <t>Ozduven, ML (corresponding author), Namik Kemal Univ, Fac Agr, Dept Anim Sci, Tekirdag, Turkey.</t>
  </si>
  <si>
    <t>lozduven@nku.edu.tr</t>
  </si>
  <si>
    <t>KOC, Fisun/ABA-3379-2020; COŞKUNTUNA, Levend/ABA-3378-2020; Özdüven, Mehmet Levent/ABA-7926-2020</t>
  </si>
  <si>
    <t xml:space="preserve">KOC, Fisun/0000-0002-5978-9232; COŞKUNTUNA, Levend/0000-0001-7137-4198; </t>
  </si>
  <si>
    <t>448SL</t>
  </si>
  <si>
    <t>WOS:000266282200008</t>
  </si>
  <si>
    <t>Data Collection on Marine Litter Ingestion in Sea Turtles and Thresholds for Good Environmental Status</t>
  </si>
  <si>
    <t>The following protocol is intended to respond to the requirements set by the European Union's Marine Strategy Framework Directives (MSFD) for the D10C3 Criteria reported in the Commission Decision (EU), related to the amount of litter ingested by marine animals. Standardized methodologies for extracting litter items ingested from dead sea turtles along with guidelines on data analysis are provided. The protocol starts with the collection of dead sea turtles and classification of samples according to the decomposition status. Turtle necropsy must be performed in authorized centers and the protocol described here explains the best procedure for gastrointestinal (GI) tract isolation. The three parts of the GI (esophagus, stomach, intestine) should be separated, opened lengthways and contents filtered using a 1 mm mesh sieve. The article describes the classification and quantification of ingested litter, classifying GI contents into seven different categories of marine litter and two categories of natural remains. The quantity of ingested litter should be reported as total dry mass (weight in grams, with two decimal places) and abundance (number of items). The protocol proposes two possible scenarios to achieve the Good Environmental Status (GES). First: There should be less than X% of sea turtles having Y g or more plastic in the GI in samples of 50-100 dead turtles from each sub-region, where Y is the average weight of plastic ingested and X% is the percentage of sea turtles with more weight (in grams) of plastic than Y. The second one, which considers the food remain versus plastic as a proxy of individual health, is: There should be less than X% of sea turtles having more weight of plastic (in grams) than food remains in the GI in samples of 50-100 dead turtles from each sub-region.</t>
  </si>
  <si>
    <t>10.3791/59466</t>
  </si>
  <si>
    <t>Matiddi, M; deLucia, GA; Silvestri, C; Darmon, G; Tomas, J; Pham, CK; Camedda, A; Vandeperre, F; Claro, F; Kaska, Y; Kaberi, H; Revuelta, O; Piermarini, R; Daffina, R; Pisapia, M; Genta, D; Sozbilen, D; Bradai, MN; Rodriguez, Y; Gambaiani, D; Tsangaris, C; Chaieb, O; Moussier, J; Loza, AL; Miaud, C</t>
  </si>
  <si>
    <t>Matiddi, Marco; deLucia, Giuseppe A.; Silvestri, Cecilia; Darmon, Gaelle; Tomas, Jesus; Pham, Christopher K.; Camedda, Andrea; Vandeperre, Frederic; Claro, Francoise; Kaska, Yakup; Kaberi, Helen; Revuelta, Ohiana; Piermarini, Raffaella; Daffina, Roberto; Pisapia, Marco; Genta, Daniela; Sozbilen, Dogan; Bradai, Mohamed N.; Rodriguez, Yasmina; Gambaiani, Delphine; Tsangaris, Catherine; Chaieb, Olfa; Moussier, Judicaelle; Loza, Ana L.; Miaud, Claude</t>
  </si>
  <si>
    <t>JOVE-JOURNAL OF VISUALIZED EXPERIMENTS</t>
  </si>
  <si>
    <t>Environmental Sciences; Issue 147; Sea turtle; plastic ingestion; necropsy; marine litter; MSFD; EcAp process; good environmental status; thresholds</t>
  </si>
  <si>
    <t>CARETTA-CARETTA; DEBRIS INGESTION; PLASTIC DEBRIS; CONSERVATION</t>
  </si>
  <si>
    <t>[Matiddi, Marco; Silvestri, Cecilia; Piermarini, Raffaella; Daffina, Roberto; Pisapia, Marco; Genta, Daniela] Italian Natl Inst Environm Protect &amp; Res ISPRA, Rome, Italy; [deLucia, Giuseppe A.; Camedda, Andrea] Inst Coastal Marine Environm Natl Res Council IAM, Rome, Italy; [Darmon, Gaelle; Gambaiani, Delphine; Miaud, Claude] Univ P Valery, PSL Res Univ, UMR 5175 CE3FE,EPHE, CNRS,UM,IRD,INRA,SupAgro,Biogeog &amp; Ecol Vertebras, Montpellier, France; [Tomas, Jesus; Revuelta, Ohiana] Univ Valencia, Cavanilles Inst Biodivers &amp; Evolutionary Biol, Valencia, Spain; [Pham, Christopher K.; Vandeperre, Frederic; Rodriguez, Yasmina] Univ Acores, Dept Oceanog &amp; Pescas, Inst Mar Okeanos, Ponta Delgada, Portugal; [Vandeperre, Frederic] Univ Acores, MARE Marine &amp; Environm Sci Ctr, Ponta Delgada, Portugal; [Claro, Francoise; Moussier, Judicaelle] Museum Natl Hist Nat, Paris, France; [Kaska, Yakup; Sozbilen, Dogan] Pamukkale Univ, Sea Turtle Res &amp; Applicat Ctr DEKAMER, Pamukkale, Turkey; [Kaberi, Helen; Tsangaris, Catherine] Hellenic Ctr Marine Res, Inst Oceanografy, Anavyssos, Greece; [Bradai, Mohamed N.; Chaieb, Olfa] INSTM, Salammbo, Tunisia; [Loza, Ana L.] Univ Las Palmas Gran Canaria, Las Palmas Gran Canaria, Spain</t>
  </si>
  <si>
    <t>Italian Institute for Environmental Protection &amp; Research (ISPRA); Centre National de la Recherche Scientifique (CNRS); INRAE; Institut Agro; Montpellier SupAgro; Institut de Recherche pour le Developpement (IRD); UDICE-French Research Universities; Universite PSL; Ecole Pratique des Hautes Etudes (EPHE); Universite de Montpellier; University of Valencia; Universidade dos Acores; Universidade dos Acores; Museum National d'Histoire Naturelle (MNHN); Pamukkale University; Hellenic Centre for Marine Research; Institut National des Sciences et Technologies de la Mer; Universidad de Las Palmas de Gran Canaria</t>
  </si>
  <si>
    <t>Matiddi, M (corresponding author), Italian Natl Inst Environm Protect &amp; Res ISPRA, Rome, Italy.</t>
  </si>
  <si>
    <t>marco.matiddi@isprambiente.it</t>
  </si>
  <si>
    <t>Camedda, Andrea AC/P-8328-2018; Tomás, Jesús/AAA-4561-2019; de Lucia, Giuseppe/F-5100-2016; Pham, Christopher K./I-9182-2014; Sözbilen, Doğan/ABB-6767-2020</t>
  </si>
  <si>
    <t>Camedda, Andrea AC/0000-0002-6837-5680; de Lucia, Giuseppe/0000-0002-6841-3923; Pham, Christopher K./0000-0002-3556-0492; Sözbilen, Doğan/0000-0002-2267-1636; Silvestri, Cecilia/0000-0001-9901-6755; Vandeperre, Frederic/0000-0002-3947-6917; Tomas, Jesus/0000-0003-0120-7006; Piermarini, Raffaella/0000-0001-7127-9027</t>
  </si>
  <si>
    <t>European DG-ENV project [11.0661/2016/748064/SUB/ENV.C2]</t>
  </si>
  <si>
    <t>European DG-ENV project</t>
  </si>
  <si>
    <t>The present protocol has been performed by INDICIT consortium in the frame of the European DG-ENV project GA No. 11.0661/2016/748064/SUB/ENV.C2.</t>
  </si>
  <si>
    <t>JOURNAL OF VISUALIZED EXPERIMENTS</t>
  </si>
  <si>
    <t>1 ALEWIFE CENTER, STE 200, CAMBRIDGE, MA 02140 USA</t>
  </si>
  <si>
    <t>1940-087X</t>
  </si>
  <si>
    <t>JOVE-J VIS EXP</t>
  </si>
  <si>
    <t>J. Vis. Exp.</t>
  </si>
  <si>
    <t>e59466</t>
  </si>
  <si>
    <t>IB0US</t>
  </si>
  <si>
    <t>WOS:000469977600082</t>
  </si>
  <si>
    <t>ENVIRONMENTAL PROPERTIES OF ENVIRONMENTALLY FRIENDLY CONSTRUCTION MATERIALS: RECYCLED LDPE COMPOSITES FILLED BY BLAST FURNACE DUST</t>
  </si>
  <si>
    <t>This study focused on creating a sustainable composite material using blast furnace dust of the iron-steel industry and plastic wastes of the plastic industry in order to reduce the embodied energy of the material and generate more sustainable material. In this study, varying amounts of blast furnace dust (BFD), which is the primary ironsteel industry waste and which is used as filler for recycled low-density polyethylene (LDPE), was mixed to create the composite material. The embodied energy, emissions to water and air (volatile organic compounds) of BFD filled LDPE composites were determined. It was found that the composite materials had less embodied energy compared with polymer-based flooring materials such as epoxy, polyurethane (PU) and polyvinylchloride (PVC). In addition, it was determined that the composite material did not release emissions to water and have fewer total volatile organic compounds (TVOCs). These results showed that the produced composite material could be used in buildings as a sustainable floor coating material, thus saving raw materials and supporting indoor air quality and recycling.</t>
  </si>
  <si>
    <t>10.3992/jgb.16.3.135</t>
  </si>
  <si>
    <t>Kayili, MT; Celebi, G</t>
  </si>
  <si>
    <t>Kayili, Merve Tuna; Celebi, Gulser</t>
  </si>
  <si>
    <t>JOURNAL OF GREEN BUILDING</t>
  </si>
  <si>
    <t>LDPE composite; blast furnace dust; embodied energy; TVOCs; waste management</t>
  </si>
  <si>
    <t>LIFE-CYCLE ASSESSMENT; AIR-POLLUTION; EMISSIONS; WASTE; TEMPERATURE; FIBERS; IMPACT; VOCS</t>
  </si>
  <si>
    <t>[Kayili, Merve Tuna] Karabuk Univ, Fac Architecture, Dept Architecture, Karabuk, Turkey; [Celebi, Gulser] Cankaya Univ, Fac Architecture, Dept Interior Design, Ankara, Turkey</t>
  </si>
  <si>
    <t>Karabuk University; Cankaya University</t>
  </si>
  <si>
    <t>Kayili, MT (corresponding author), Karabuk Univ, Fac Architecture, Dept Architecture, Karabuk, Turkey.</t>
  </si>
  <si>
    <t>mervetunakayili@karabuk.edu.tr; gulsercelebi@cankaya.edu.tr</t>
  </si>
  <si>
    <t>ÇELEBI, Gülser/HGE-9005-2022; CELEBI, GULSER/HGE-9005-2022</t>
  </si>
  <si>
    <t>ÇELEBI, Gülser/0000-0001-9916-4766; CELEBI, GULSER/0000-0001-5439-9764</t>
  </si>
  <si>
    <t>Gazi University Scientific Research Center [48/201301]</t>
  </si>
  <si>
    <t>Gazi University Scientific Research Center</t>
  </si>
  <si>
    <t>This study was funded by Gazi University Scientific Research Center (Contract No. 48/201301). And this study was produced from a dissertation named Determining the availability of composite material produced by using blast furnace dust and waste polyethylene.</t>
  </si>
  <si>
    <t>COLLEGE PUBLISHING</t>
  </si>
  <si>
    <t>GLEN ALLEN</t>
  </si>
  <si>
    <t>12309 LYNWOOD DR, GLEN ALLEN, VA 23059 USA</t>
  </si>
  <si>
    <t>1552-6100</t>
  </si>
  <si>
    <t>1943-4618</t>
  </si>
  <si>
    <t>J GREEN BUILD</t>
  </si>
  <si>
    <t>J. Green Build.</t>
  </si>
  <si>
    <t>Architecture</t>
  </si>
  <si>
    <t>US6KG</t>
  </si>
  <si>
    <t>WOS:000697535100003</t>
  </si>
  <si>
    <t>Potential of polyhydroxyalkanoate (PHA) polymers family as substitutes of petroleum based polymers for packaging applications and solutions brought by their composites to form barrier materials</t>
  </si>
  <si>
    <t>Today, there is an increasing concern about protection of ecological systems. Petro-based synthetic polymers are not biodegradable and cause environmental pollution. These polymers that are stuck in nature, affect wildlife adversely. Also, in future petrochemical materials will drain away and demand for eco-friendly plastics which can substitute synthetic plastics will increase. Biopolymers are products which can be degraded by enzymatic activities of various microorganisms, and the degradation products are nontoxic. They are attractive alternatives to non-degradable materials in short-term applications such as packaging. Poly(3-hydroxybutyrate-co-3-hydroxyvalerate) (PHBV) is a member of polyhydroxyalkanoate (PHA) family which is biodegradable and produced by microorganism. It has good gas barrier properties that make it convenient to use in different applications. The present paper gives an overview on PHAs and their composites, their main properties, with a specific focus on potential applications of PHBV in packaging.</t>
  </si>
  <si>
    <t>10.1515/pac-2017-0401</t>
  </si>
  <si>
    <t>Keskin, G; Kizil, G; Bechelany, M; Pochat-Bohatier, C; Oner, M</t>
  </si>
  <si>
    <t>Keskin, Gulsah; Kizil, Gulnur; Bechelany, Mikhael; Pochat-Bohatier, Celine; Oner, Mualla</t>
  </si>
  <si>
    <t>PURE AND APPLIED CHEMISTRY</t>
  </si>
  <si>
    <t>composite materials; materials science; nanocomposites; NICE-2016; polymers</t>
  </si>
  <si>
    <t>BIODEGRADABLE POLYMERS; POLY(3-HYDROXYBUTYRATE-CO-3-HYDROXYVALERATE); FILMS; NANOCOMPOSITES; BIOCOMPOSITES; NANOBIOCOMPOSITES; PERFORMANCE; BLENDS; GAS; PERMEABILITY</t>
  </si>
  <si>
    <t>[Bechelany, Mikhael; Pochat-Bohatier, Celine] Univ Montpellier, UMR 5635, Inst Europeen Membranes, CNRS,ENSCM, Pl Eugene Bataillon, F-34 Languedoc Roussillon, France; [Keskin, Gulsah; Kizil, Gulnur; Oner, Mualla] Yildiz Tech Univ, Chem Met Fac, Chem Engn Dept, Istanbul, Turkey</t>
  </si>
  <si>
    <t>Centre National de la Recherche Scientifique (CNRS); Universite de Montpellier; Yildiz Technical University</t>
  </si>
  <si>
    <t>Pochat-Bohatier, C (corresponding author), Univ Montpellier, UMR 5635, Inst Europeen Membranes, CNRS,ENSCM, Pl Eugene Bataillon, F-34 Languedoc Roussillon, France.;Oner, M (corresponding author), Yildiz Tech Univ, Chem Met Fac, Chem Engn Dept, Istanbul, Turkey.</t>
  </si>
  <si>
    <t>Celine.Pochat@umontpellier.fr; oner@yildiz.edu.tr</t>
  </si>
  <si>
    <t>Oner, Mualla/Q-1263-2019; Bechelany, Mikhael/G-7556-2011; Öner, Mualla/AAZ-4881-2020</t>
  </si>
  <si>
    <t xml:space="preserve">Oner, Mualla/0000-0001-6899-0993; Bechelany, Mikhael/0000-0002-2913-2846; </t>
  </si>
  <si>
    <t>Scientific and Technological Research Council of Turkey (TUBITAK) [215M355]; Campus France (PHC Bosphore) [35211XD]; TUBITAK</t>
  </si>
  <si>
    <t>Scientific and Technological Research Council of Turkey (TUBITAK)(Turkiye Bilimsel ve Teknolojik Arastirma Kurumu (TUBITAK)); Campus France (PHC Bosphore); TUBITAK(Turkiye Bilimsel ve Teknolojik Arastirma Kurumu (TUBITAK))</t>
  </si>
  <si>
    <t>M. Oner thanks the Scientific and Technological Research Council of Turkey (TUBITAK, Project No. 215M355), and M. Bechelany thanks the Campus France (PHC Bosphore No. 35211XD) for funding this work under a Bilateral Cooperation Program between Turkey and France. G. Keskin and G. Kizil gratefully acknowledge TUBITAK for a scholarship.</t>
  </si>
  <si>
    <t>WALTER DE GRUYTER GMBH</t>
  </si>
  <si>
    <t>BERLIN</t>
  </si>
  <si>
    <t>GENTHINER STRASSE 13, D-10785 BERLIN, GERMANY</t>
  </si>
  <si>
    <t>0033-4545</t>
  </si>
  <si>
    <t>1365-3075</t>
  </si>
  <si>
    <t>PURE APPL CHEM</t>
  </si>
  <si>
    <t>Pure Appl. Chem.</t>
  </si>
  <si>
    <t>FP9XL</t>
  </si>
  <si>
    <t>Green Published, hybrid</t>
  </si>
  <si>
    <t>WOS:000418002500012</t>
  </si>
  <si>
    <t>Valorization and Application of Fruit and Vegetable Wastes and By-Products for Food Packaging Materials</t>
  </si>
  <si>
    <t>The important roles of food packaging are food protection and preservation during processing, transportation, and storage. Food can be altered biologically, chemically, and physically if the packaging is unsuitable or mechanically damaged. Furthermore, packaging is an important marketing and communication tool to consumers. Due to the worldwide problem of environmental pollution by microplastics and the large amounts of unused food wastes and by-products from the food industry, it is important to find more environmentally friendly alternatives. Edible and functional food packaging may be a suitable alternative to reduce food waste and avoid the use of non-degradable plastics. In the present review, the production and assessment of edible food packaging from food waste as well as fruit and vegetable by-products and their applications are demonstrated. Innovative food packaging made of biopolymers and biocomposites, as well as active packaging, intelligent packaging, edible films, and coatings are covered.</t>
  </si>
  <si>
    <t>10.3390/molecules26134031</t>
  </si>
  <si>
    <t>Bayram, B; Ozkan, G; Kostka, T; Capanoglu, E; Esatbeyoglu, T</t>
  </si>
  <si>
    <t>Bayram, Banu; Ozkan, Gulay; Kostka, Tina; Capanoglu, Esra; Esatbeyoglu, Tuba</t>
  </si>
  <si>
    <t>MOLECULES</t>
  </si>
  <si>
    <t>biopolymers; biocomposites; edible films and coatings; active packaging; intelligent packaging; food waste</t>
  </si>
  <si>
    <t>WATER-VAPOR PERMEABILITY; POMEGRANATE PEEL EXTRACT; WHEY-PROTEIN FILM; EDIBLE FILMS; BIODEGRADABLE POLYMERS; ANTIMICROBIAL PROPERTIES; RHEOLOGICAL PROPERTIES; MONITORING FRESHNESS; ANTIOXIDANT ACTIVITY; POSTHARVEST QUALITY</t>
  </si>
  <si>
    <t>[Bayram, Banu] Univ Hlth Sci, Dept Nutr &amp; Dietet, TR-34668 Istanbul, Turkey; [Ozkan, Gulay; Capanoglu, Esra] Istanbul Tech Univ, Fac Chem &amp; Met Engn, Dept Food Engn, TR-34469 Istanbul, Turkey; [Kostka, Tina; Esatbeyoglu, Tuba] Leibniz Univ Hannover, Dept Food Dev &amp; Food Qual, Inst Food Sci &amp; Human Nutr, Kleinen Felde 30, D-30167 Hannover, Germany</t>
  </si>
  <si>
    <t>Istanbul Technical University; Leibniz University Hannover</t>
  </si>
  <si>
    <t>Esatbeyoglu, T (corresponding author), Leibniz Univ Hannover, Dept Food Dev &amp; Food Qual, Inst Food Sci &amp; Human Nutr, Kleinen Felde 30, D-30167 Hannover, Germany.</t>
  </si>
  <si>
    <t>banu.bayram@sbu.edu.tr; ozkangula@itu.edu.tr; kostka@lw.uni-hannover.de; capanogl@itu.edu.tr; esatbeyoglu@lw.uni-hannover.de</t>
  </si>
  <si>
    <t>Esatbeyoglu, Tuba/ABB-7997-2021; Bayram, Banu/HJI-7100-2023; Kostka, Tina/AAU-8074-2021; Capanoglu, Esra/A-4455-2018</t>
  </si>
  <si>
    <t>Kostka, Tina/0000-0001-8212-694X; Capanoglu, Esra/0000-0003-0335-9433; Esatbeyoglu, Tuba/0000-0003-2413-6925; ozkan, gulay/0000-0002-6375-1608; Bayram, Banu/0000-0001-8214-4179</t>
  </si>
  <si>
    <t>Open Access Fund of the Leibniz University Hannover</t>
  </si>
  <si>
    <t>The publication of this article was funded by the Open Access Fund of the Leibniz University Hannover.</t>
  </si>
  <si>
    <t>1420-3049</t>
  </si>
  <si>
    <t>Molecules</t>
  </si>
  <si>
    <t>TF9ZP</t>
  </si>
  <si>
    <t>WOS:000671073300001</t>
  </si>
  <si>
    <t>An approach to assess PWR methods to cope with physical barriers on plastic waste disposal and exploration from developing nations</t>
  </si>
  <si>
    <t>Science and technology have advanced and powerful to notch higher in the field of plastic waste management (PWM), recycling, and disposal. However, pollution from the most inexhaustible significant chemical is even greater, and it is steadily increasing. This pollution, which is hidden from view, tends to produce micro/nano plastic waste, which has an impact on our ecology's climate cycle, food cycle, and health. It is significantly worsening day-by-day in emerging countries because to increased demand, consumption, and low prices. Even though the digital media provides awareness, trash dumping and tossing in both aquatic and terrestrial environments is expanding in front of us. Municipal solid waste management (MSWM) boards in developing nations, in particular, are struggling to practically erase their own garbage. Sophisticated innovation, such as Waste-to-Energy on plastics, makes handling terrestrial plastic waste easier, but overcrowding, an unequal economy, and unknown epidemic, and poor management wreak havoc on waste disposal. As a consequence, we were motivated to look into the obstacles of PWR implementation and progress, as well as more sustainable recycling solutions to address these issues. We made a contribution by creating the Single-valued intuitionistic trapezoidal neutrosophic fuzzy set (SVITNFS), which can analyze more data and come closer to the true best decision for overcoming these challenges and working intelligently. Because this set has been incorporated in the fusion of two conventional multi-criteria decision making (MCDM) methods yet this time with different procedures, the final ranking will undoubtedly give policymakers with an alternate choice before adopting a recycling strategy to cope with their unique uncertain issue.</t>
  </si>
  <si>
    <t>10.1016/j.eswa.2022.117996</t>
  </si>
  <si>
    <t>Narayanamoorthy, S; Manirathinam, T; Geetha, S; Salahshour, S; Ahmadian, A; Kang, D</t>
  </si>
  <si>
    <t>Narayanamoorthy, Samayan; Manirathinam, Thangaraj; Geetha, Selvaraj; Salahshour, Soheil; Ahmadian, Ali; Kang, Daekook</t>
  </si>
  <si>
    <t>EXPERT SYSTEMS WITH APPLICATIONS</t>
  </si>
  <si>
    <t>Plasticrecycling; Wastemanagementbarriers; MCDM; SVITNfuzzyset; AHP; PROMETHEE-II</t>
  </si>
  <si>
    <t>PROMETHEE II; ENERGY; AHP; MANAGEMENT; RECOVERY; TOPSIS</t>
  </si>
  <si>
    <t>[Narayanamoorthy, Samayan; Manirathinam, Thangaraj; Geetha, Selvaraj] Bharathiar Univ, Dept Math, Coimbatore 641046, India; [Salahshour, Soheil] Bahcesehir Univ, Fac Engn &amp; Nat Sci, Istanbul, Turkey; [Ahmadian, Ali] Mediterranea Univ Reggio Calabria, Decis Lab, Reggio Di Calabria, Italy; [Ahmadian, Ali] Near East Univ, Dept Math, Mersin 10, Nicosia, Turkey; [Kang, Daekook] Inje Univ, Inst Digital Antiaging Healthcare, Dept Ind &amp; Management Engn, 197 Inje Ro, Gimhae Si, Gyeongsangnam D, South Korea</t>
  </si>
  <si>
    <t>Bharathiar University; Bahcesehir University; Universita Mediterranea di Reggio Calabria; Near East University; Inje University</t>
  </si>
  <si>
    <t>Ahmadian, A (corresponding author), Mediterranea Univ Reggio Calabria, Decis Lab, Reggio Di Calabria, Italy.;Kang, D (corresponding author), Inje Univ, Inst Digital Antiaging Healthcare, Dept Ind &amp; Management Engn, 197 Inje Ro, Gimhae Si, Gyeongsangnam D, South Korea.</t>
  </si>
  <si>
    <t>snmphd@buc.edu.in; manirathinam.maths@buc.edu.in; geetha.162201003@buc.edu.in; soheil.salahshour@eng.bau.edu.tr; ahmadian.hosseini@unirc.it; dkkang@inje.ac.kr</t>
  </si>
  <si>
    <t>Ahmadian, Ali/N-3697-2015; Salahshour, Soheil/K-4817-2019</t>
  </si>
  <si>
    <t>Ahmadian, Ali/0000-0002-0106-7050; Salahshour, Soheil/0000-0003-1390-3551; THANGARAJ, MANIRATHINAM/0000-0002-6688-9493; Narayanamoorthy, Samayan/0000-0002-3782-4666</t>
  </si>
  <si>
    <t>National Research Foundation (NRF) of Korea - Korean Government (MSIT) [NRF-2022R1C1C1006671]</t>
  </si>
  <si>
    <t>National Research Foundation (NRF) of Korea - Korean Government (MSIT)(National Research Foundation of KoreaMinistry of Science &amp; ICT (MSIT), Republic of Korea)</t>
  </si>
  <si>
    <t>This work was supported by a National Research Foundation (NRF) of Korea grant funded by the Korean Government (MSIT) Grant NRF-2022R1C1C1006671.</t>
  </si>
  <si>
    <t>0957-4174</t>
  </si>
  <si>
    <t>1873-6793</t>
  </si>
  <si>
    <t>EXPERT SYST APPL</t>
  </si>
  <si>
    <t>Expert Syst. Appl.</t>
  </si>
  <si>
    <t>Computer Science, Artificial Intelligence; Engineering, Electrical &amp; Electronic; Operations Research &amp; Management Science</t>
  </si>
  <si>
    <t>Computer Science; Engineering; Operations Research &amp; Management Science</t>
  </si>
  <si>
    <t>3F7RO</t>
  </si>
  <si>
    <t>WOS:000830861900003</t>
  </si>
  <si>
    <t>Production of antibacterial biodegradable food packaging using Thymus vulgaris L. Extract, Hydroxyethyl Cellulose and Polyvinyl Alcohol</t>
  </si>
  <si>
    <t>Plastic is one of the most commonly used materials for food packaging. Plastic is generally produced using oil derivative materials, which not only have high costs but also take a long time to be recycled. Furthermore, plastic packaging is also one of the most important reasons for environmental pollution. The aim of this research was to obtain silver nanoparticles from thyme (Thymus vulgaris L.), rosemary (Rosmarinus officinalis L.) and laurel (Laurus nobilis L.) extracts and examine their antibacterial properties in order to produce biodegradable antibacterial food packaging with natural and naturally derived polymers. First, the plant extracts were obtained and used for obtaining silver nanoparticles. The antibacterial activities of the extract+silver nanoparticles were tested on Staphylococcus aureus, Escherichia coli, Bacillus subtilis, and Vibrio parahaemolyticus bacteria using the disk diffusion test. We observed that the inhibition effects of thyme extract on bacteria were higher compared to rosemary, laurel and other materials used. Therefore, we produced three different food packages using the thyme extract and natural and naturally derived polymers (starch, PVA, and HEC). These packages were used for meat and cheese products, and the antibacterial effects of the films produced were investigated with the aerobic colony count method. As a result of the research conducted, we determined that it would be advantageous to use food packages containing PVA + HEC + thyme as an inner layer between the product and the outer package rather than using plastic packages that take a long time to recycle, unhealthy and harmful to nature.</t>
  </si>
  <si>
    <t>Tuna, GS; Bender, G; Palikan, A; Demirbilek, D; Zeybek, SE; Ozan, G</t>
  </si>
  <si>
    <t>Tuna, Gulsemin Savas; Bender, Goktug; Palikan, Aleyna; Demirbilek, Damla; Zeybek, Salim Efe; Ozan, Gokcen</t>
  </si>
  <si>
    <t>BIOSCIENCE RESEARCH</t>
  </si>
  <si>
    <t>Antibacterial; Biodegradable; Package; PVA- HEC; Thyme</t>
  </si>
  <si>
    <t>IN-VITRO; ANTIOXIDANT PROPERTIES; ESSENTIAL OILS; ANTIMICROBIAL ACTIVITIES; PLANT-EXTRACTS; FILMS; ROSEMARY; RELEASE; QUALITY</t>
  </si>
  <si>
    <t>[Tuna, Gulsemin Savas; Palikan, Aleyna; Demirbilek, Damla; Zeybek, Salim Efe; Ozan, Gokcen] Aden Sci High Sch, TR-59100 Tekirdag, Turkey; [Bender, Goktug] McGill Univ, Montreal, PQ H3A 0G4, Canada</t>
  </si>
  <si>
    <t>McGill University</t>
  </si>
  <si>
    <t>Tuna, GS (corresponding author), Aden Sci High Sch, TR-59100 Tekirdag, Turkey.</t>
  </si>
  <si>
    <t>glsvs@yahoo.com</t>
  </si>
  <si>
    <t>INNOVATIVE SCIENTIFIC INFORMATION &amp; SERVICES NETWORK</t>
  </si>
  <si>
    <t>FAISALABAD</t>
  </si>
  <si>
    <t>INNOVATIVE SCIENTIFIC INFORMATION &amp; SERVICES NETWORK, FAISALABAD, 00000, PAKISTAN</t>
  </si>
  <si>
    <t>1811-9506</t>
  </si>
  <si>
    <t>2218-3973</t>
  </si>
  <si>
    <t>BIOSCI RES</t>
  </si>
  <si>
    <t>Biosci. Res.</t>
  </si>
  <si>
    <t>SI5DC</t>
  </si>
  <si>
    <t>WOS:000654843800104</t>
  </si>
  <si>
    <t>Enabling real time big data solutions for manufacturing at scale</t>
  </si>
  <si>
    <t>Today we create and collect more data than we have in the past. All this data comes from different sources, including social media platforms, our phones and computers, healthcare gadgets and wearable technology, scientific instruments, financial institutions, the manufacturing industry, news channels, and more. When these data are analyzed in a real-time nature, it offers businesses the opportunity to take quick action in business-development processes (B2B, B2C), gain a different perspective, and better understand applications, creating new opportunities. While changing their sales and marketing strategies, businesses are now able to manage the data they collect in real-time to transform themselves, to record them in a healthy way, to analyze and evaluate data-based processes, and to determine their digital transformation roadmaps, their interactions with their customers, sectoral diffraction, application, and analysis. They want to accelerate the transformation processes within the technology triangle. Thus, big data, recently called as small and wide data, is at the center of everything and becomes an important application for digital transformation. Digital transformation helps companies embrace change and stay competitive in an increasingly digital world. The value of big data in manufacturing, independent from sectoral variations, comes from its ability to combine both in an organization's efforts to both digitize and automate its end-to-end business operations. In this study, the current digitalization and automation applications of one of the plastic injection-based manufacturing companies at scale will be discussed. Presented open-source-based big data analytics platform, DataCone, that increases data processing efficiency, storage optimization, encourages innovation for real time monitorization and analytics, and support new business models in different industry segments will be demonstrated and discussed. Thus, development and applied ML solutions will be discussed providing important prospects for the future.</t>
  </si>
  <si>
    <t>10.1186/s40537-022-00672-6</t>
  </si>
  <si>
    <t>Cakir, A; Akin, O; Deniz, HF; Yilmaz, A</t>
  </si>
  <si>
    <t>Cakir, Altan; Akin, Ozgun; Deniz, Halil Faruk; Yilmaz, Ali</t>
  </si>
  <si>
    <t>JOURNAL OF BIG DATA</t>
  </si>
  <si>
    <t>Big data; Digital transformation; Real-time learning; Machine learning; Manufacturing; Open source; Plastics injection</t>
  </si>
  <si>
    <t>[Cakir, Altan] Istanbul Tech Univ, Istanbul Tech Univ Artificial Intelligence, Data Sci Res &amp; Applicat Ctr, Istanbul, Turkey; [Cakir, Altan] Istanbul Tech Univ, Fac Sci &amp; Letters, Dept Phys Engn, Istanbul, Turkey; [Cakir, Altan; Akin, Ozgun; Deniz, Halil Faruk] ITU Teknokent, Parton Big Data Analyt &amp; Consulting, Istabul, Turkey; [Cakir, Altan; Akin, Ozgun; Deniz, Halil Faruk; Yilmaz, Ali] Istanbul Tech Univ, Dept Data Engn &amp; Business Analyt, Big Data &amp; Business Analyt, Istanbul, Turkey</t>
  </si>
  <si>
    <t>Istanbul Technical University; Istanbul Technical University; Istanbul Technical University</t>
  </si>
  <si>
    <t>Cakir, A (corresponding author), Istanbul Tech Univ, Istanbul Tech Univ Artificial Intelligence, Data Sci Res &amp; Applicat Ctr, Istanbul, Turkey.;Cakir, A (corresponding author), Istanbul Tech Univ, Fac Sci &amp; Letters, Dept Phys Engn, Istanbul, Turkey.;Cakir, A (corresponding author), ITU Teknokent, Parton Big Data Analyt &amp; Consulting, Istabul, Turkey.;Cakir, A (corresponding author), Istanbul Tech Univ, Dept Data Engn &amp; Business Analyt, Big Data &amp; Business Analyt, Istanbul, Turkey.</t>
  </si>
  <si>
    <t>altan.cakir@itu.edu.tr</t>
  </si>
  <si>
    <t>SPRINGERNATURE</t>
  </si>
  <si>
    <t>CAMPUS, 4 CRINAN ST, LONDON, N1 9XW, ENGLAND</t>
  </si>
  <si>
    <t>2196-1115</t>
  </si>
  <si>
    <t>J BIG DATA-GER</t>
  </si>
  <si>
    <t>J. Big Data</t>
  </si>
  <si>
    <t>DEC 14</t>
  </si>
  <si>
    <t>Computer Science, Theory &amp; Methods</t>
  </si>
  <si>
    <t>Computer Science</t>
  </si>
  <si>
    <t>7B5RJ</t>
  </si>
  <si>
    <t>WOS:000899189800001</t>
  </si>
  <si>
    <t>Is adsorption an artifact in experimentation with Triclosan?</t>
  </si>
  <si>
    <t>This paper examines the effect of adsorption of Triclosan (TCS) onto labware on the results obtained during lab-scale experiments. Three sets of experiments were considered; two of them expose the problem in water or wastewater treatability studies and the other one in microbial susceptibility testings. In the former two sets, lab-scale systems; ozonation; and membrane filtration (NF/RO) that are commonly used in water or wastewater treatability studies were utilized and the distribution of TCS within the systems were followed. The ozonation labware tested was composed of a Pyrex reactor with plastic and glass tubings. The NF/RO system was composed of a stainless steel feed tank, a stainless steel membrane unit, stainless steel flanges, and stainless steel and plastic tubings. Ozonation system was operated without ozone gas, but air. Similarly, NF/RO system was without membrane in it. Both of the systems were rinsed with methanol before experiments to remove any possible earlier contamination. During the experiments, samples were taken at certain intervals and the change in TCS concentration in water was monitored. Results obtained with lab-scale ozonation system revealed that TCS adsorbed by the surface of plastic tubing is about 100 times greater than that of glass tubing. In NF/RO system, the higher the initial TCS concentration the higher the mass of TCS adsorbed by the membrane filtration system alone was evident. In the third set, microbial susceptibility testing was conducted on Staphylococcus aureus for TCS and the possible effect of adsorption of TCS onto the plastic labware was sought by comparing MIC and MBC values performed by serial dilutions in aqueous and methanol solutions. MIC and MBC values determined using TCS in methanol range from 0.06 to 16 mg/L, while the ones determined with TCS in water range from 0.25 to 128 mg/L. All the results obtained indicated that adsorption is a substantial phenomenon; in the event that it is not considered, obtained results might not reflect the truth. TCS was found to adsorb seriously on plastic but not on glass labwares. Therefore, before an experimental system that will employ TCS is designed, it is essential to consider the possible adsorption onto the experimental system components and to demonstrate that there is no adsorption of TCS onto labware.</t>
  </si>
  <si>
    <t>10.1080/19443994.2013.831780</t>
  </si>
  <si>
    <t>Koc, A; Orhon, KB; Ogutverici, A; Yilmaz, L; Furi, L; Oggioni, MR; Dilek, FB; Yetis, U</t>
  </si>
  <si>
    <t>Koc, Aybala; Orhon, Kemal B.; Ogutverici, Abdullah; Yilmaz, Levent; Furi, Leonardo; Oggioni, Marco R.; Dilek, Filiz B.; Yetis, Ulku</t>
  </si>
  <si>
    <t>Labware; Triclosan; Adsorption</t>
  </si>
  <si>
    <t>WATER TREATMENT PLANTS; AQUATIC ENVIRONMENT; REMOVAL; BIOCIDE; OZONE</t>
  </si>
  <si>
    <t>[Koc, Aybala; Orhon, Kemal B.; Ogutverici, Abdullah; Dilek, Filiz B.; Yetis, Ulku] Middle E Tech Univ, Dept Environm Engn, TR-06531 Ankara, Turkey; [Yilmaz, Levent] Middle E Tech Univ, Dept Chem Engn, TR-06531 Ankara, Turkey; [Furi, Leonardo; Oggioni, Marco R.] Univ Siena, UOC Batteriol, Azienda Osped Univ Senese, LAMMB,Dip Biotecnol,Policlin Scotte, I-53100 Siena, Italy</t>
  </si>
  <si>
    <t>Middle East Technical University; Middle East Technical University; University of Siena; University Hospital of Siena</t>
  </si>
  <si>
    <t>Yetis, U (corresponding author), Middle E Tech Univ, Dept Environm Engn, TR-06531 Ankara, Turkey.</t>
  </si>
  <si>
    <t>uyetis@metu.edu.tr</t>
  </si>
  <si>
    <t>yetis, Ulku/C-2646-2016; Dilek, Filiz Bengu/J-4091-2013; Yilmaz, Levent/AAZ-9957-2020; Oggioni, Marco Rinaldo/K-3839-2016</t>
  </si>
  <si>
    <t>Dilek, Filiz Bengu/0000-0002-3431-6930; Yilmaz, Levent/0000-0001-8649-0642; Oggioni, Marco Rinaldo/0000-0003-4117-793X; Yetis, Ulku/0000-0001-7322-0563</t>
  </si>
  <si>
    <t>EC project [KBBE-227258]</t>
  </si>
  <si>
    <t>EC project</t>
  </si>
  <si>
    <t>This work was supported by EC project KBBE-227258 (BIOHYPO).</t>
  </si>
  <si>
    <t>NOV 10</t>
  </si>
  <si>
    <t>37-39</t>
  </si>
  <si>
    <t>AT5SE</t>
  </si>
  <si>
    <t>WOS:000345001300026</t>
  </si>
  <si>
    <t>Drilling thick fabric woven CFRP laminates with double point angle drills</t>
  </si>
  <si>
    <t>Carbon fiber reinforced plastics (CFRPs) have many desirable properties, including high strength-to-weight ratio, high stiffness-to-weight ratio, high corrosion resistance, and low thermal expansion. These properties make CFRP suitable for use in structural components for aerospace applications. Drilling is the most common machining process applied to CFRP laminates, and it is difficult due to the extremely abrasive nature of the carbon fibers and low thermal conductivity of CFRP. It is a challenge for manufacturers to drill CFRP materials without causing any delamination on the work part while also considering the economics of the process. The subject of this study is the drilling of fabric woven type CFRP laminates which are known to be more resistant to delamination than unidirectional type CFRP laminates. The objective of this study is to investigate the influence of double point angle drill geometry on drilling performance through an experimental approach. An uncoated carbide and two diamond coated carbide drills with different drill tip angles are employed in drilling experiments of aerospace quality thick fabric woven CFRP laminates. Force and torque measurements are used to investigate appropriate drilling conditions based on drill geometry and ideal drilling parameters are determined. Tool life tests of the drills were conducted and the condition of the diamond coating is examined as a function of drilling operational parameters. High feed rate drilling experiments are observed to be favorable in terms of drill wear. Feed is observed to be more important than speed, and the upper limit of feed is dictated by the drill design and the rigidity of the machine drill. Hole diameter variation due to drill wear is monitored to determine drill life. At high feeds, hole diameter tolerance is observed to be more critical than hole exit delamination during drilling of fabric woven CFRP laminates. (C) 2012 Elsevier B.V. All rights reserved.</t>
  </si>
  <si>
    <t>10.1016/j.jmatprotec.2012.05.017</t>
  </si>
  <si>
    <t>Karpat, Y; Deger, B; Bahtiyar, O</t>
  </si>
  <si>
    <t>Karpat, Yigit; Deger, Burak; Bahtiyar, Onur</t>
  </si>
  <si>
    <t>JOURNAL OF MATERIALS PROCESSING TECHNOLOGY</t>
  </si>
  <si>
    <t>Machining; Drilling; Carbon fiber reinforced plastics; Diamond coated carbide</t>
  </si>
  <si>
    <t>COMPOSITE-MATERIALS; DELAMINATION</t>
  </si>
  <si>
    <t>[Karpat, Yigit] Bilkent Univ, Dept Ind Engn, TR-06800 Ankara, Turkey; [Deger, Burak; Bahtiyar, Onur] Turkish Aerosp Ind Inc, TR-06980 Ankara, Turkey</t>
  </si>
  <si>
    <t>Ihsan Dogramaci Bilkent University; TAI - Turkish Aerospace Industries; Turkey Specialized Higher Education &amp; Research Hospital</t>
  </si>
  <si>
    <t>Karpat, Y (corresponding author), Bilkent Univ, Dept Ind Engn, TR-06800 Ankara, Turkey.</t>
  </si>
  <si>
    <t>ykarpat@bilkent.edu.tr</t>
  </si>
  <si>
    <t>Karpat, Yigit/0000-0002-3535-8120; Ozel, Tugrul/0000-0001-8198-490X</t>
  </si>
  <si>
    <t>Scientific and Technical Research Council of Turkey (TUBITAK-Teydeb); ODAGEM</t>
  </si>
  <si>
    <t>Scientific and Technical Research Council of Turkey (TUBITAK-Teydeb)(Turkiye Bilimsel ve Teknolojik Arastirma Kurumu (TUBITAK)); ODAGEM</t>
  </si>
  <si>
    <t>The authors would like to thank The Scientific and Technical Research Council of Turkey (TUBITAK-Teydeb) and ODAGEM A.S. for their financial support of this study.</t>
  </si>
  <si>
    <t>0924-0136</t>
  </si>
  <si>
    <t>J MATER PROCESS TECH</t>
  </si>
  <si>
    <t>J. Mater. Process. Technol.</t>
  </si>
  <si>
    <t>Engineering, Industrial; Engineering, Manufacturing; Materials Science, Multidisciplinary</t>
  </si>
  <si>
    <t>Engineering; Materials Science</t>
  </si>
  <si>
    <t>009NM</t>
  </si>
  <si>
    <t>WOS:000309032500016</t>
  </si>
  <si>
    <t>Sustainable approach to produce 3D-printed continuous carbon fiber composites: A comparison of virgin and recycled PETG</t>
  </si>
  <si>
    <t>The use of recycled polymers in 3D printing technologies has recently become a promising research topic because of the global concerns on plastic waste pollution and an increase in awareness of sustainability and circularity. In order to unlock the potentials of 3D printing beyond prototyping purposes, continuous fiber-embedded fused filament fabrication (FFF) as a process for composite production has gained importance. This study focuses on the potential use of recycled, glycol-modified poly(ethylene terephthalate) (rPETG) as a matrix material in continuous fiber additive manufacturing of composites. First, the characteristics of rPETG were compared with those of non-recycled PETG in terms of molecular weight as well as rheological, thermal, and mechanical properties. Then, rPETG and PETG composites containing 25% continuous carbon filament (CCF) fibers (CCFs) were printed using a co-extrusion-type FFF printer. Their tensile and flexural properties were characterized. It was found that the tensile properties of rPETG-based composites were lower than those of PET-based composites, but their flexural properties were nearly the same. The thermodynamic work of adhesion approach was applied to understand the interfacial interactions between the matrix and CFF. It was found that the thermodynamic adhesion between rPETG/CFF was higher than that of PETG/CFF. Additionally, SEM-SE images obtained from the fracture surfaces of the samples supported the findings by showing that the adhesion between rPETG and CF was superior to that between PETG and CF. Thus, this study demonstrated that recycled PETG can be used as a possible matrix material for 3D-printed CCF composites, thus highlighting the ability of recycled plastics to be converted into circular products with high added value.</t>
  </si>
  <si>
    <t>10.1002/pc.26143</t>
  </si>
  <si>
    <t>Bex, GJP; Ingenhut, BLJ; ten Cate, T; Sezen, M; Ozkoc, G</t>
  </si>
  <si>
    <t>Bex, Guy J. P.; Ingenhut, Bastiaan L. J.; ten Cate, Tessa; Sezen, Meltem; Ozkoc, Guralp</t>
  </si>
  <si>
    <t>3D&amp;#8208; printed continuous fiber composites; carbon fiber; interfacial adhesion; mechanical properties; recycled PETG</t>
  </si>
  <si>
    <t>MECHANICAL-PROPERTIES; POLYMER; BEHAVIOR; PLASTICS; IMPACT; GLASS; ABS; PLA</t>
  </si>
  <si>
    <t>[Bex, Guy J. P.; Ingenhut, Bastiaan L. J.; ten Cate, Tessa; Ozkoc, Guralp] TNO, Res Grp Mat Solut, Geleen, Netherlands; [Bex, Guy J. P.; Ingenhut, Bastiaan L. J.; ten Cate, Tessa; Ozkoc, Guralp] Brightlands Mat Ctr, Addit Mfg Program, Geleen, Netherlands; [Sezen, Meltem] Sabanci Univ, Nanotechnol Res &amp; Applicat Ctr SUNUM, Istanbul, Turkey</t>
  </si>
  <si>
    <t>Netherlands Organization Applied Science Research; Sabanci University</t>
  </si>
  <si>
    <t>Ozkoc, G (corresponding author), TNO, Res Grp Mat Solut, Geleen, Netherlands.</t>
  </si>
  <si>
    <t>guralp.ozkoc@tno.nl</t>
  </si>
  <si>
    <t>Ozkoc, Guralp/F-7917-2018</t>
  </si>
  <si>
    <t>Ozkoc, Guralp/0000-0002-3194-5256</t>
  </si>
  <si>
    <t>UR2DB</t>
  </si>
  <si>
    <t>WOS:000654632300001</t>
  </si>
  <si>
    <t>Models of compacted fine-grained soils used as mineral liner for solid waste</t>
  </si>
  <si>
    <t>To prevent the leakage of pollutant liquids into groundwater and sublayers, the compacted fine-grained soils are commonly utilized as mineral liners or a sealing system constructed under municipal solid waste and other containment hazardous materials. This study presents the correlation equations of the compaction parameters required for construction of a mineral liner system. The determination of the characteristic compaction parameters, maximum dry unit weight (gamma(dmax)) and optimum water content (w(opt)) requires considerable time and great effort. In this study, empirical models are described and examined to find which of the index properties correlate well with the compaction characteristics for estimating gamma(dmax) and w(opt) of fine-grained soils at the standard compactive effort. The compaction data are correlated with different combinations of gravel content (G), sand content (S), fine-grained content (FC = clay + silt), plasticity index (I-p), liquid limit (w(L)) and plastic limit (w(P)) by performing multilinear regression (MLR) analyses. The obtained correlations with statistical parameters are presented and compared with the previous studies. It is found that the maximum dry unit weight and optimum water content have a considerably good correlation with plastic limit in comparison with liquid limit and plasticity index.</t>
  </si>
  <si>
    <t>10.1007/s00254-007-1142-7</t>
  </si>
  <si>
    <t>Sivrikaya, O</t>
  </si>
  <si>
    <t>Sivrikaya, Osman</t>
  </si>
  <si>
    <t>ENVIRONMENTAL GEOLOGY</t>
  </si>
  <si>
    <t>mineral liner; compaction; fine-grained soils; correlations</t>
  </si>
  <si>
    <t>CLAY LINERS; PREDICTION</t>
  </si>
  <si>
    <t>Nigde Univ, Geotech Engn Div, Dept Civil Engn, TR-51245 Nigde, Turkey</t>
  </si>
  <si>
    <t>Nigde Omer Halisdemir University</t>
  </si>
  <si>
    <t>Sivrikaya, O (corresponding author), Nigde Univ, Geotech Engn Div, Dept Civil Engn, TR-51245 Nigde, Turkey.</t>
  </si>
  <si>
    <t>osivrikaya@nigde.edu.tr</t>
  </si>
  <si>
    <t>Sivrikaya, Osman/ABD-7247-2020; Sivrikaya, Osman/AAA-4057-2021</t>
  </si>
  <si>
    <t>233 SPRING STREET, NEW YORK, NY 10013 USA</t>
  </si>
  <si>
    <t>0943-0105</t>
  </si>
  <si>
    <t>ENVIRON GEOL</t>
  </si>
  <si>
    <t>Environ. Geol.</t>
  </si>
  <si>
    <t>250BX</t>
  </si>
  <si>
    <t>WOS:000252276100021</t>
  </si>
  <si>
    <t>Stress magnet ingestion in three children: Endoscopist perspective</t>
  </si>
  <si>
    <t>The widespread use of magnets in toy industry has resulted in increased reports of magnet ingestions and related complications. Ensconcing within plastic covers and manufacturing larger pieces have been forwarded to avoid ingestion. We report 3 cases of magnet ingestion called stress magnets which are large to pass the gastric outlet. Endoscopic retrieval of single and double magnets from the stomach is described, and magnet related health hazard as well as the procedure related adversities is discussed.</t>
  </si>
  <si>
    <t>10.1556/IMAS.4.2012.3.5</t>
  </si>
  <si>
    <t>Ozgenc, F; Yuksekkaya, HA; Erdemir, G; Ecevit, CO; Yagci, RV</t>
  </si>
  <si>
    <t>Ozgenc, Funda; Yuksekkaya, Hasan Ali; Erdemir, Gulin; Ecevit, Cigdem Omur; Yagci, Rasit Vural</t>
  </si>
  <si>
    <t>INTERVENTIONAL MEDICINE AND APPLIED SCIENCE</t>
  </si>
  <si>
    <t>foreign body ingestion; magnet</t>
  </si>
  <si>
    <t>[Ozgenc, Funda; Yuksekkaya, Hasan Ali; Erdemir, Gulin; Ecevit, Cigdem Omur; Yagci, Rasit Vural] Ege Univ, Sch Med, Dept Pediat Gastroenterol, Izmir, Turkey</t>
  </si>
  <si>
    <t>Ozgenc, F (corresponding author), Ege Univ, Sch Med, Dept Pediat Gastroenterol, Izmir, Turkey.</t>
  </si>
  <si>
    <t>funda.ozgenc@ege.edu.tr</t>
  </si>
  <si>
    <t>AKADEMIAI KIADO RT</t>
  </si>
  <si>
    <t>PRIELLE K U 19, PO BOX 245,, H-1117 BUDAPEST, HUNGARY</t>
  </si>
  <si>
    <t>2061-1617</t>
  </si>
  <si>
    <t>2061-5094</t>
  </si>
  <si>
    <t>INTERV MED APPL SCI</t>
  </si>
  <si>
    <t>Interv. Med. Appl. Sci.</t>
  </si>
  <si>
    <t>V26LC</t>
  </si>
  <si>
    <t>WOS:000215292700005</t>
  </si>
  <si>
    <t>A reactor antineutrino detector based on hexagonal scintillator bars</t>
  </si>
  <si>
    <t>This study presents a new concept of segmented antineutrino detector based on hexagonal plastic scintillator bars for detecting antineutrinos from a nuclear reactor core. The choice of hexagonal scintillator bars is original and provides compactness. The proposed detector detects antineutrinos via inverse beta decay (IBD) with the prompt-delayed double coincidence. Owing to its segmented structure, the background, which satisfies the delayed coincidence condition can be eliminated by applying proper event selection cuts. In this manner, the main focus is to determine proper selection criteria to precisely tag the true IBD events. Monte-Carlo simulation is carried out to understand the characteristic of the IBD interaction in the proposed detector by using Geant4 toolkit. A set of event selection criteria is established based on the simulated data. It is found that a detection efficiency of 10% can be achieved with the selection condition applied. It is also shown that fast neutrons, which constitute the main background source for above-ground detection, can be effectively eliminated with these selection criteria. The motivation for this study is to install this compact detector at a short distance (&lt;100 m) from the Akkuyu Nuclear Power Plant, which is expected to start operation in 2023.</t>
  </si>
  <si>
    <t>10.1016/j.nima.2019.163251</t>
  </si>
  <si>
    <t>Antineutrino detector; Reactor monitoring; Hexagonal plastic scintillator bar; GEANT4</t>
  </si>
  <si>
    <t>SIMULATION; SAFEGUARDS; ARRAY</t>
  </si>
  <si>
    <t>FEB 11</t>
  </si>
  <si>
    <t>KB3SP</t>
  </si>
  <si>
    <t>WOS:000506419900012</t>
  </si>
  <si>
    <t>Long-term water absorption behavior of thermoplastic composites produced with thermally treated wood</t>
  </si>
  <si>
    <t>Wood plastic composites (WPCs) were produced from thermally treated beech (Fagus orientalis L.) wood and polypropylene (PP) polymer with coupling agent, by using injection molding. The wood chips were thermally treated for 30 or 120 min at three different temperatures (120 degrees C, 150 degrees C, or 180 degrees C) under saturated steam in a digester and then grounded (40-mesh size) by wood mill. Long-term water absorption kinetics of the composites were investigated with water immersion test. It was found that the water absorption decreased with increasing severity of the thermal-treatment and water immersion time as compared to the control composites. Furthermore, the composites produced with wood treated at 180 degrees C for 120 min exhibited the least water absorption. Microstructures of the composites were examined by SEM analysis to understand the mechanisms for the wood-plastic interaction which affected the water absorption. Further studies were conducted to model the water diffusion of the composites. Diffusion coefficient parameter in the models was obtained by fitting the model predictions with the experimental data. Water absorption of the studied composites was proved to follow the kinetics of a Fickian diffusion process. (C) 2016 Elsevier Ltd. All rights reserved.</t>
  </si>
  <si>
    <t>10.1016/j.measurement.2016.02.058</t>
  </si>
  <si>
    <t>Hosseinihashemi, SK; Arwinfar, F; Najafi, A; Nemli, G; Ayrilmis, N</t>
  </si>
  <si>
    <t>Hosseinihashemi, Seyyed Khalil; Arwinfar, Farhad; Najafi, Abdollah; Nemli, Gokay; Ayrilmis, Nadir</t>
  </si>
  <si>
    <t>MEASUREMENT</t>
  </si>
  <si>
    <t>Wood-plastic composite; Thermally treated wood; Water absorption kinetics</t>
  </si>
  <si>
    <t>SORPTION</t>
  </si>
  <si>
    <t>[Hosseinihashemi, Seyyed Khalil; Arwinfar, Farhad] Islamic Azad Univ, Karaj Branch, Dept Wood Sci &amp; Paper Technol, Karaj, Iran; [Najafi, Abdollah] Islamic Azad Univ, Chalous Branch, Dept Wood Sci &amp; Paper Technol, Chalous, Iran; [Nemli, Gokay] Karadeniz Tech Univ, Fac Forestry, Dept Wood Mech &amp; Technol, TR-61080 Trabzon, Turkey; [Ayrilmis, Nadir] Istanbul Univ, Fac Forestry, Dept Wood Mech &amp; Technol, TR-34473 Istanbul, Turkey</t>
  </si>
  <si>
    <t>Islamic Azad University; Islamic Azad University; Karadeniz Technical University; Istanbul University</t>
  </si>
  <si>
    <t>Hosseinihashemi, SK (corresponding author), Islamic Azad Univ, Karaj Branch, Dept Wood Sci &amp; Paper Technol, Karaj, Iran.</t>
  </si>
  <si>
    <t>hashemi@kiau.ac.ir</t>
  </si>
  <si>
    <t>Nemli, Gökay/AAT-5458-2020; Hosseinihashemi, Seyyed Khalil/K-3554-2019; Hosseinihashemi, Seyyed Khalil/P-2556-2018; Ayrilmis, Nadir/F-1573-2015; Najafi, Abdollah/AAO-6239-2021</t>
  </si>
  <si>
    <t xml:space="preserve">Hosseinihashemi, Seyyed Khalil/0000-0001-6236-0376; Hosseinihashemi, Seyyed Khalil/0000-0001-6236-0376; Ayrilmis, Nadir/0000-0002-9991-4800; </t>
  </si>
  <si>
    <t>0263-2241</t>
  </si>
  <si>
    <t>1873-412X</t>
  </si>
  <si>
    <t>Measurement</t>
  </si>
  <si>
    <t>Engineering, Multidisciplinary; Instruments &amp; Instrumentation</t>
  </si>
  <si>
    <t>Engineering; Instruments &amp; Instrumentation</t>
  </si>
  <si>
    <t>DI0PX</t>
  </si>
  <si>
    <t>WOS:000373200400019</t>
  </si>
  <si>
    <t>Homogenization of ECAPed Al 2024 alloy through age-hardening</t>
  </si>
  <si>
    <t>Mechanical properties of aluminum alloys can be improved by obtaining ultra-fine grained structures via severe plastic deformation methods such as equal channel angular pressing (ECAP). In practice, however, the final structure may not be as homogeneous as desired. Thus, elimination of the inhomogeneity of ECAPed samples is a challenging task. In the case of age-hardenable alloys, a combination of ECAP and aging might provide new means of obtaining microstructural homogeneity. In this study, the effect of post-ECAP aging on the microstructural homogeneity of 2024 Al-Cu-Mg alloy was investigated. Following solutionization and rapid cooling, some samples were aged at 190 degrees C for various times. Another group of samples were similarly aged after one-pass ECAP through a 120 degrees die. Throughout the aging of the samples, maps of microhardness variation were acquired in order to monitor the precipitation behavior. It was observed that considerable homogenization in the microstructure of the ECAPed samples was reached, especially right after peak aging. The homogenization level was characterized with the hardness inhomogeneity index. EBSD and TEM investigations were performed to observe variations in the homogeneity of the microstructure. (C) 2012 Elsevier B.V. All rights reserved.</t>
  </si>
  <si>
    <t>10.1016/j.msea.2012.08.148</t>
  </si>
  <si>
    <t>Kotan, G; Tan, E; Kalay, YE; Gur, CH</t>
  </si>
  <si>
    <t>Kotan, G.; Tan, E.; Kalay, Y. E.; Gur, C. H.</t>
  </si>
  <si>
    <t>MATERIALS SCIENCE AND ENGINEERING A-STRUCTURAL MATERIALS PROPERTIES MICROSTRUCTURE AND PROCESSING</t>
  </si>
  <si>
    <t>Aluminium alloy; Equal channel angular pressing; Aging; Microstructure; Homogeneity</t>
  </si>
  <si>
    <t>SEVERE PLASTIC-DEFORMATION; HIGH-PRESSURE TORSION; GRAIN-REFINEMENT; ALUMINUM-ALLOY; CHANNEL; HOMOGENEITY; STRENGTH; ANGLE</t>
  </si>
  <si>
    <t>[Kotan, G.; Tan, E.; Kalay, Y. E.; Gur, C. H.] Middle E Tech Univ, Dept Met &amp; Mat Engn, TR-06800 Ankara, Turkey; [Kotan, G.] Mersin Univ, Dept Met &amp; Mat Engn, Icel, Turkey</t>
  </si>
  <si>
    <t>Middle East Technical University; Mersin University</t>
  </si>
  <si>
    <t>Kotan, G (corresponding author), Middle E Tech Univ, Dept Met &amp; Mat Engn, METU Univ Mah Dumlupinar Blv 1, TR-06800 Ankara, Turkey.</t>
  </si>
  <si>
    <t>guher@metu.edu.tr</t>
  </si>
  <si>
    <t>Gur, C. Hakan/P-7839-2015; Tan, Guher/G-8308-2011; Kalay, Yunus Eren/AAM-2022-2020</t>
  </si>
  <si>
    <t>Gur, C. Hakan/0000-0002-4884-9818; Kalay, Yunus Eren/0000-0002-5514-5202; Tan, Evren/0000-0002-5433-1628</t>
  </si>
  <si>
    <t>0921-5093</t>
  </si>
  <si>
    <t>MAT SCI ENG A-STRUCT</t>
  </si>
  <si>
    <t>Mater. Sci. Eng. A-Struct. Mater. Prop. Microstruct. Process.</t>
  </si>
  <si>
    <t>Nanoscience &amp; Nanotechnology; Materials Science, Multidisciplinary; Metallurgy &amp; Metallurgical Engineering</t>
  </si>
  <si>
    <t>Science &amp; Technology - Other Topics; Materials Science; Metallurgy &amp; Metallurgical Engineering</t>
  </si>
  <si>
    <t>058HB</t>
  </si>
  <si>
    <t>WOS:000312623600080</t>
  </si>
  <si>
    <t>Comparison of dry, wet, and microwave ashing methods for the determination of Al, Zn, and Fe in yogurt samples by atomic absorption spectrometry</t>
  </si>
  <si>
    <t>Digestion methods such as dry and wet ashing and microwave oven were examined at various conditions to determine a rapid, reliable, and simple digestion procedure for yogurt. Digestion by microwave oven was found to be an excellent method in comparison with dry and wet ashing methods when only A1 and Zn in yogurt samples were determined. Iron in this matrix is not completely digested by the microwave oven method at the examined conditions. From the obtained results, yogurt can also be a good source of essential nutrients such as minerals in human diet, especially zinc. Aluminum concentrations in yogurt samples fermented in A1 containers were found to be significantly higher than in plastic containers. Al concentrations of yogurt taken from the bottom of the container were found to be higher than from the center and top of Al containers. The determinations of metals were carried out via an atomic absorption spectrophotometer using calibration curve and standard additions methods. Aluminum concentrations in yogurt samples produced in big production centers were found to be significantly higher than the other yogurt samples produced in-house when plastic containers were used.</t>
  </si>
  <si>
    <t>10.1081/SL-200062997</t>
  </si>
  <si>
    <t>Yaman, M; Durak, M; Bakirdere, S</t>
  </si>
  <si>
    <t>SPECTROSCOPY LETTERS</t>
  </si>
  <si>
    <t>aluminum; atomic absorption; dry and wet ashing; iron; microwave; yogurt; zinc</t>
  </si>
  <si>
    <t>MILK; ALUMINUM; ZINC</t>
  </si>
  <si>
    <t>Firat Univ, Dept Chem, Sci &amp; Arts Fac, TR-23119 Elazig, Turkey; Middle E Tech Univ, Dept Chem, Fac Sci, Ankara, Turkey</t>
  </si>
  <si>
    <t>Firat University; Middle East Technical University</t>
  </si>
  <si>
    <t>Yaman, M (corresponding author), Firat Univ, Dept Chem, Sci &amp; Arts Fac, TR-23119 Elazig, Turkey.</t>
  </si>
  <si>
    <t>myaman@firat.edu.tr</t>
  </si>
  <si>
    <t>Yaman, Mehmet/W-4232-2018</t>
  </si>
  <si>
    <t>Yaman, Mehmet/0000-0002-3008-2671</t>
  </si>
  <si>
    <t>0038-7010</t>
  </si>
  <si>
    <t>1532-2289</t>
  </si>
  <si>
    <t>SPECTROSC LETT</t>
  </si>
  <si>
    <t>Spectr. Lett.</t>
  </si>
  <si>
    <t>4-5</t>
  </si>
  <si>
    <t>Spectroscopy</t>
  </si>
  <si>
    <t>005JM</t>
  </si>
  <si>
    <t>WOS:000234818400002</t>
  </si>
  <si>
    <t>Monitoring the film formation process of polystyrene/poly acrylamide (PS/PAAm) composite films annealed by IR heating</t>
  </si>
  <si>
    <t>In this study, UV-visible (UVV) technique was used to probe the evolution of optical transmission during the film formation from composites of polystyrene (PS) latex particles and poly acrylamide (PAAm) films annealed by the infrared radiative heating (IRH) and convectional heating. Activation energies corresponding to the void closure and the interdiffusion stages were calculated. It was shown that the activation energy for the void closure processes of viscous flow from the composite films decreased considerably in IRH annealing technique. It was observed that IRH heating speeds up the film formation process and the decrease the required energy. POLYM. ENG. SCI., 58:353-360, 2018. (c) 2017 Society of Plastics Engineers</t>
  </si>
  <si>
    <t>10.1002/pen.24581</t>
  </si>
  <si>
    <t>Gelir, A; Yargi, O; Sarli, B; Sahinturk, U; Aksakal, B</t>
  </si>
  <si>
    <t>Gelir, Ali; Yargi, Onder; Sarli, Berkay; Sahinturk, Utkan; Aksakal, Baki</t>
  </si>
  <si>
    <t>GLASS-TRANSITION TEMPERATURE; PHOTON TRANSMISSION; LATEX-PARTICLES; MOLECULAR-WEIGHT; CARBON NANOTUBE; FLUORESCENCE; INTERDIFFUSION; DEFORMATION; DISPERSION; KINETICS</t>
  </si>
  <si>
    <t>[Gelir, Ali] Istanbul Tech Univ, Dept Phys, TR-34469 Istanbul, Turkey; [Yargi, Onder; Sarli, Berkay; Aksakal, Baki] Yildiz Tech Univ, Dept Phys, TR-34210 Istanbul, Turkey; [Sahinturk, Utkan] Istanbul Univ, Vocat Sch Tech Sci, Dept Mech &amp; Met Technol, Machine Programme, TR-34320 Istanbul, Turkey</t>
  </si>
  <si>
    <t>Istanbul Technical University; Yildiz Technical University; Istanbul University</t>
  </si>
  <si>
    <t>Yargi, O (corresponding author), Yildiz Tech Univ, Dept Phys, TR-34210 Istanbul, Turkey.</t>
  </si>
  <si>
    <t>oyargi@yildiz.edu.tr</t>
  </si>
  <si>
    <t>Sahinturk, Utkan/AAL-4062-2020; ŞARLI, Sadettin Berkay/AAJ-6848-2021; Aksakal, Baki/AAB-9041-2019; Yargi, Onder/AAB-7466-2021; Gelir, Ali/H-7558-2015</t>
  </si>
  <si>
    <t>Sahinturk, Utkan/0000-0002-1943-3450; ŞARLI, Sadettin Berkay/0000-0001-8441-9674; Aksakal, Baki/0000-0003-1255-541X; Yargi, Onder/0000-0001-6343-0057; Gelir, Ali/0000-0001-6534-2253</t>
  </si>
  <si>
    <t>Yildiz Tecnical University, Coordination of Scientific Research Projects [2016-01-01-KAP03]</t>
  </si>
  <si>
    <t>Yildiz Tecnical University, Coordination of Scientific Research Projects</t>
  </si>
  <si>
    <t>Contract grant sponsor: Yildiz Tecnical University, Coordination of Scientific Research Projects (for project 2016-01-01-KAP03).</t>
  </si>
  <si>
    <t>FY8TZ</t>
  </si>
  <si>
    <t>WOS:000427139100012</t>
  </si>
  <si>
    <t>Smoke filtration performances of membranes produced from commercial PVA and recycled PET by electrospinning method and ANN modeling</t>
  </si>
  <si>
    <t>Plastic waste and air pollution are becoming a great concern due to their adverse effect on human health and the environment. There is increasing number of evidence showing that recycling plastic and filtering harmful air pollutants are one of the most effective and promising way to eliminate their hazard on the environment. In this purpose, we developed eco-friendly filtration materials from recycled PET by electrospinning method to be used in air filtration and compared them with conventional PVA membranes. Filtration efficiency of prepared membranes were tested homemade membrane system using cigarette smoke source. Characterization results and smoke filtration performance of recycled PET and PVA membranes before and after smoke filtration were examined. The results demonstrated that the removal efficiencies of PVA-5 wt.%, PVA-10 wt.%, and PVA-15 wt.% were 4.11%, 11.32%, and 12.14%, respectively. A similar trend was also observed in recycled PET-5 wt.%, PET-10 wt.%, and PET-15 wt.% membranes with 4.32%, 10.79%, and 11.68% of filtration efficiency, respectively. Based on this result, using recycled PET can be an alternative way to produce a higher value product compared to traditional polymer membranes used commercially. This result is also supported by the neural network model of this study.</t>
  </si>
  <si>
    <t>10.1007/s11356-022-22383-4</t>
  </si>
  <si>
    <t>Ozen, HA; Mutuk, T; Yigiter, M</t>
  </si>
  <si>
    <t>Ozen, Hulya Aykac; Mutuk, Tugba; Yigiter, Merve</t>
  </si>
  <si>
    <t>Recycling materials; Electrospinning; Smoke filtration; Fiber microstructure; ANN</t>
  </si>
  <si>
    <t>AIR FILTRATION; HOLLOW FIBERS; WASTE; NANOFIBERS; POLLUTION; EFFICIENCY; FILTERS</t>
  </si>
  <si>
    <t>[Ozen, Hulya Aykac] Ondokuz Mayis Univ, Dept Environm Engn, TR-55200 Samsun, Turkey; [Mutuk, Tugba; Yigiter, Merve] Ondokuz Mayis Univ, Dept Met &amp; Mat Engn, TR-55200 Samsun, Turkey</t>
  </si>
  <si>
    <t>Ondokuz Mayis University; Ondokuz Mayis University</t>
  </si>
  <si>
    <t>Mutuk, T (corresponding author), Ondokuz Mayis Univ, Dept Met &amp; Mat Engn, TR-55200 Samsun, Turkey.</t>
  </si>
  <si>
    <t>hulya.aykac@omu.edu.tr; tugba.isitan@omu.edu.tr; merve.yigiter@omu.edu.tr</t>
  </si>
  <si>
    <t>Mutuk, Tugba/0000-0003-0143-2721</t>
  </si>
  <si>
    <t>F7RL4</t>
  </si>
  <si>
    <t>WOS:000836114100001</t>
  </si>
  <si>
    <t>Temperature and surface potential correlations with serrated flow of low carbon steel</t>
  </si>
  <si>
    <t>The Portevin-Le-Chatelier (PLC) effect manifests itself as serrated plastic flow in strain controlled tensile tests of dilute alloys. The effect causes most of the material qualities to suffer, including the ductility. Monitoring the effect is important since the induced loss of ductility can cause premature failures on structural materials under load. Surface potential fluctuations of AISI 1020 low carbon steel during its serrated flow was investigated by a combined set-up of an electrochemical cell and a slow strain tensile test. The steel was exposed to an aqueous electrolyte under a strain rate of 1.6 x 10(-6)/s, and the surface potential was monitored in situ during the creation, magnification, and annihilation phases of the serrated flow achieved by changing test temperatures stepwise between 50 and 85 A degrees C. The serration amplitude showed strong correlations both with test temperatures and the surface potential. A rather large potential shift around 110 mV through active direction during the burst of serrations hinted that the slip bands, in addition to temperature and strain, could also be responsible for the charge release due to the dislocation domains carried in them. The study verifies a potential use of the set-up for monitoring the PLC events in aqueous environments where load cells, extensometers etc. are not utilizable.</t>
  </si>
  <si>
    <t>10.1007/s10853-011-5290-5</t>
  </si>
  <si>
    <t>JOURNAL OF MATERIALS SCIENCE</t>
  </si>
  <si>
    <t>LE-CHATELIER BANDS; PLASTIC INSTABILITIES; DEFORMATION BANDS; STRAIN-RATE; CORROSION; ORIENTATION; EMISSION; GEOMETRY; TENSILE</t>
  </si>
  <si>
    <t>[Yilmaz, A.] Univ Yalova, Dept Chem &amp; Proc Engn, Yalova, Turkey</t>
  </si>
  <si>
    <t>Yilmaz, A (corresponding author), Univ Yalova, Dept Chem &amp; Proc Engn, Yalova, Turkey.</t>
  </si>
  <si>
    <t>0022-2461</t>
  </si>
  <si>
    <t>1573-4803</t>
  </si>
  <si>
    <t>J MATER SCI</t>
  </si>
  <si>
    <t>J. Mater. Sci.</t>
  </si>
  <si>
    <t>Materials Science, Multidisciplinary</t>
  </si>
  <si>
    <t>736SN</t>
  </si>
  <si>
    <t>WOS:000288514500011</t>
  </si>
  <si>
    <t>Generic foresight model in changing hygiene habits with the pandemic: use of wet wipes in next generations</t>
  </si>
  <si>
    <t>The vast use of wet wipes has now become a habitude, particularly following the altered perception of cleanliness during the pandemic and the encouragement towards using WW (wet wipe) to ensure parent's and children's hygiene. This study primarily aims to create a projection of the WW waste that will emerge in Turkey as a result of the promoted consumption by children who are predicted to retain the WW usage practices of their parents. In line with this habit adopted by children, the number of daily WW usage which is currently around 210 million is expected to rise to over 250 million between the years 2040 and 2060, depending on how the children are guided by their parent's existing habits. In this study, related calculations were made with FT-IR spectroscopy, taking into account the functional bond structure and percentage distribution of polymers in WWs. In this way, it is detected that 360 T, 568 T, and 623 T polymer materials would be thrown into the environment per day in 2021, 2040 and 2060, respectively. The damage of chemicals in WW content, employed at various concentrations, to the ecosystem structure is predicted and measures to be taken are outlined. [GRAPHICS] .</t>
  </si>
  <si>
    <t>10.1007/s10163-022-01515-5</t>
  </si>
  <si>
    <t>Koklu, R; Ates, A; Deveci, EU; Sivri, N</t>
  </si>
  <si>
    <t>Koklu, Rabia; Ates, Asude; Deveci, Ece Ummu; Sivri, Nuket</t>
  </si>
  <si>
    <t>JOURNAL OF MATERIAL CYCLES AND WASTE MANAGEMENT</t>
  </si>
  <si>
    <t>Non-woven textiles; Plastic pollution; Plastic awareness; Waste management; Polyester (PES); Polypropylene (PP); Microfiber</t>
  </si>
  <si>
    <t>FT-IR; EXPOSURE; PERFORMANCE; DEBRIS</t>
  </si>
  <si>
    <t>[Koklu, Rabia; Ates, Asude] Sakarya Univ, Environm Engn Dept, Sakarya, Turkey; [Deveci, Ece Ummu] Nigde Omer Halisdemir Univ, Environm Engn Dept, Nigde, Turkey; [Sivri, Nuket] Istanbul Univ Cerrahpasa, Environm Engn Dept, Istanbul, Turkey</t>
  </si>
  <si>
    <t>Sakarya University; Nigde Omer Halisdemir University; Istanbul University - Cerrahpasa</t>
  </si>
  <si>
    <t>Koklu, R (corresponding author), Sakarya Univ, Environm Engn Dept, Sakarya, Turkey.</t>
  </si>
  <si>
    <t>rkoklu@sakarya.edu.tr</t>
  </si>
  <si>
    <t>Sivri, Nuket/AFM-4107-2022; Ates, Asude/GYD-6823-2022; KOKLU, RABIA/HKO-5050-2023</t>
  </si>
  <si>
    <t>Sivri, Nuket/0000-0002-4269-5950; Ates, Asude/0000-0003-0934-0135; KOKLU, RABIA/0000-0003-1630-5290</t>
  </si>
  <si>
    <t>1438-4957</t>
  </si>
  <si>
    <t>1611-8227</t>
  </si>
  <si>
    <t>J MATER CYCLES WASTE</t>
  </si>
  <si>
    <t>J. Mater. Cycles Waste Manag.</t>
  </si>
  <si>
    <t>8G5FO</t>
  </si>
  <si>
    <t>WOS:000865710900001</t>
  </si>
  <si>
    <t>Polystyrene nanoplastic contamination mixed with polycyclic aromatic hydrocarbons: Alleviation on gas exchange, water management, chlorophyll fluorescence and antioxidant capacity in wheat</t>
  </si>
  <si>
    <t>Polycyclic aromatic hydrocarbons (PAHs) constitute a significant environmental pollution group that reaches toxic levels with anthropogenic activities. The adverse effects of nanoplastics accumulating in ecosystems with the degradation of plastic wastes are also a growing concern. Previous studies have generally focused on the impact of single PAH or plastic fragments exposure on plants. However, it is well recognized that these contaminants co-exist at varying rates in agricultural soil and water resources. Therefore, it is critical to elucidate the phytotoxicity and interaction mechanisms of mixed pollutants. The current study was designed to comparatively investigate the single and combined effects of anthracene (ANT, 100 mg L-1), fluorene (FLU, 100 mg L-1) and polystyrene nanoplastics (PS, 100 mg L-1) contaminations in wheat. Plants exposed to single ANT, FLU and PS treatments demonstrated decline in growth, water content, high stomatal limitations and oxidative damage. The effect of ANT + FLU on these parameters was more detrimental. In addition, ANT and/or FLU treatments significantly suppressed photosynthetic capacity as determined by carbon assimilation rate (A) and chlorophyll a fluorescence transient. The antioxidant system was not fully activated (decreased superoxide dismutase, peroxidase and glutathione reductase) under ANT + FLU, then hydrogen peroxide (H2O2) content (by 2.7-fold) and thiobarbituric acid reactive substances (TBARS) (by 2.8-fold) increased. Interestingly, ANT + PS and FLU + PS improved the growth, water relations and gas exchange parameters. The presence of nanoplastics recovered the adverse effects of ANT and FLU on growth by protecting the photosynthetic photochemistry and reducing oxidative stress. PAH plus PS reduced the ANT and FLU accumulation in wheat leaves. In parallel, the increased antioxidant system, regeneration of ascorbate, glutathione and glutathione redox status observed under ANT + PS and FLU + PS. These findings will provide an information about the phytotoxicity mechanisms of mixed pollutants in the environment.</t>
  </si>
  <si>
    <t>10.1016/j.envpol.2022.119851</t>
  </si>
  <si>
    <t>Arikan, B; Ozfidan-Konakci, C; Yildiztugay, E; Turan, M; Cavusoglu, H</t>
  </si>
  <si>
    <t>Arikan, Busra; Ozfidan-Konakci, Ceyda; Yildiztugay, Evren; Turan, Metin; Cavusoglu, Halit</t>
  </si>
  <si>
    <t>Polycyclic aromatic hydrocarbons; Polystyrene nanoplastics; Mixed contaminants; Antioxidant system; Chlorophyll a fluorescence</t>
  </si>
  <si>
    <t>NADPH OXIDASE; ACCUMULATION; PHYTOTOXICITY; ARABIDOPSIS; PEROXIDASE; ANTHRACENE; PROLINE; MAIZE; PHOTOSYNTHESIS; MICROPLASTICS</t>
  </si>
  <si>
    <t>[Arikan, Busra; Yildiztugay, Evren] Selcuk Univ, Fac Sci, Dept Biotechnol, TR-42130 Konya, Turkey; [Ozfidan-Konakci, Ceyda] Necmettin Erbakan Univ, Fac Sci, Dept Mol Biol &amp; Genet, TR-42090 Konya, Turkey; [Turan, Metin] Yeditepe Univ, Fac Econ &amp; Adm Sci, Dept Agr Trade &amp; Management, TR-34755 Istanbul, Turkey; [Cavusoglu, Halit] Selcuk Univ, Fac Sci, Dept Phys, TR-42130 Konya, Turkey</t>
  </si>
  <si>
    <t>Yildiztugay, E (corresponding author), Selcuk Univ, Fac Sci, Dept Biotechnol, TR-42130 Konya, Turkey.</t>
  </si>
  <si>
    <t>busra.arikan@selcuk.edu.tr; cozfidan@erbakan.edu.tr; eytugay@selcuk.edu.tr; metinturan@yeditepe.edu.tr; hcavusoglu@selcuk.edu.tr</t>
  </si>
  <si>
    <t>YILDIZTUGAY, EVREN/AEP-8812-2022; Turan, Metin/HKN-5015-2023; Arikan, Busra/L-6055-2016</t>
  </si>
  <si>
    <t>YILDIZTUGAY, EVREN/0000-0002-4675-2027; Turan, Metin/0000-0002-4849-7680; Arikan, Busra/0000-0001-5313-0501</t>
  </si>
  <si>
    <t>Advanced Technology Research and Application Center of Selcuk University; Selcuk University Scientific Research Projects Coordinating Office [21111001]</t>
  </si>
  <si>
    <t>Advanced Technology Research and Application Center of Selcuk University; Selcuk University Scientific Research Projects Coordinating Office(Selcuk University)</t>
  </si>
  <si>
    <t>The authors would like to acknowledge to Advanced Technology Research and Application Center of Selcuk University for their kind help regarding the analysis study (XRD) . This work was supported by the Selcuk University Scientific Research Projects Coordinating Office (Grant Number: 21111001) and conducted within the scope of Busra Arikan?s doctoral thesis.</t>
  </si>
  <si>
    <t>4F9GB</t>
  </si>
  <si>
    <t>WOS:000848816000008</t>
  </si>
  <si>
    <t>Fabrication of gelatin nanofiber webs via centrifugal spinning for N95 respiratory filters</t>
  </si>
  <si>
    <t>Due to the impact of the Covid-19 pandemic, the usage of numerous protective face masks has faced an explosion in demand around the world. Therefore, the need to reduce the environmental pollution caused by disposable single-use face masks has become vital. Recently, alternative raw material solutions have been discussed to eliminate the consumption of single-use plastics. Within this research, gelatin nanofibers were fabricated via centrifugal spinning technique, and filtration media were investigated in terms of air permeability and filtration efficiency. In addition, morphological properties were examined with scanning electron microscopy. Fabricated fibers have a changing average diameter range from 232 to 778 nm, and targeted 95% filtration efficiency was achieved in several compositions. It was proven that biodegradable gelatin nanofibers could be a sustainable alternative for disposable N95 respiratory filters.</t>
  </si>
  <si>
    <t>10.1007/s12034-022-02668-7</t>
  </si>
  <si>
    <t>Arican, F; Uzuner-Demir, A; Polat, O; Sancakli, A; Ismar, E</t>
  </si>
  <si>
    <t>Arican, Fatih; Uzuner-Demir, Aysegul; Polat, Oguzhan; Sancakli, Aykut; Ismar, Ezgi</t>
  </si>
  <si>
    <t>BULLETIN OF MATERIALS SCIENCE</t>
  </si>
  <si>
    <t>Gelatin; centrifugal spinning; N95; mask; filter</t>
  </si>
  <si>
    <t>SKIN GELATIN; SCAFFOLDS; ACID</t>
  </si>
  <si>
    <t>[Arican, Fatih; Uzuner-Demir, Aysegul; Polat, Oguzhan; Sancakli, Aykut; Ismar, Ezgi] Kazlicesme R&amp;D Ctr &amp; Test Labs, TR-34956 Tuzla, Turkey; [Arican, Fatih] Sakarya Univ, Dept Chem, TR-54050 Serdivan, Turkey; [Uzuner-Demir, Aysegul] Dept Polymer Sci &amp; Technol, TR-41000 Kocaeli, Turkey; [Sancakli, Aykut] Ege Univ, Dept Leather Engn, TR-35040 Izmir, Turkey</t>
  </si>
  <si>
    <t>Sakarya University; Ege University</t>
  </si>
  <si>
    <t>Arican, F (corresponding author), Kazlicesme R&amp;D Ctr &amp; Test Labs, TR-34956 Tuzla, Turkey.;Arican, F (corresponding author), Sakarya Univ, Dept Chem, TR-54050 Serdivan, Turkey.</t>
  </si>
  <si>
    <t>fatiharican@kazlicesme.com.tr</t>
  </si>
  <si>
    <t>Polat, Oguzhan/0000-0003-0837-2573</t>
  </si>
  <si>
    <t>Scientific and Technological Research Council of Turkey (TUBITAK) [TEYDEB-1507, 7200424]</t>
  </si>
  <si>
    <t>This research was funded by The Scientific and Technological Research Council of Turkey (TUBITAK) (TEYDEB-1507), Project number 7200424. We would like to thank Halavet Gelatin, Turkey, for their gelatin supply.</t>
  </si>
  <si>
    <t>INDIAN ACAD SCIENCES</t>
  </si>
  <si>
    <t>BANGALORE</t>
  </si>
  <si>
    <t>C V RAMAN AVENUE, SADASHIVANAGAR, P B #8005, BANGALORE 560 080, INDIA</t>
  </si>
  <si>
    <t>0250-4707</t>
  </si>
  <si>
    <t>0973-7669</t>
  </si>
  <si>
    <t>B MATER SCI</t>
  </si>
  <si>
    <t>Bull. Mat. Sci.</t>
  </si>
  <si>
    <t>MAY 24</t>
  </si>
  <si>
    <t>1O2AI</t>
  </si>
  <si>
    <t>WOS:000801141600001</t>
  </si>
  <si>
    <t>Organic Solvent Absorbents Based on Linear Diol</t>
  </si>
  <si>
    <t>Cross-linked poly(orthocarbonate)s were prepared by condensation of the tetraethyl orthocarbonate with different length of aliphatic diols. The synthesized polymers have been characterized by Fourier-transform infrared spectroscopy, solid-state C-13 cross-polarization magic angle spinning (CPMAS) nuclear magnetic resonance, thermal gravimetric analysis, and elemental analysis. The cross-linked polymers were evaluated for organic solvent absorbency application. The effect of diol type on swelling properties of cross-linked polymers was studied through the solvent absorption tests. The swelling parameters such as maximum solvent absorbency, saturation time, and retention of the solvent were evaluated for the synthesized sorbents. All of the cross-linked polymers had moderate thermal stability and good regenerable solvent uptake abilities. POLYM. ENG. SCI., 53:2102-2108, 2013. (c) 2013 Society of Plastics Engineers</t>
  </si>
  <si>
    <t>10.1002/pen.23480</t>
  </si>
  <si>
    <t>Yati, I; Aydin, GO; Sonmez, HB</t>
  </si>
  <si>
    <t>Yati, Ilker; Aydin, Gulsah Ozan; Sonmez, Hayal Bulbul</t>
  </si>
  <si>
    <t>OIL-SPILL CLEANUP; CROSS-LINKED POLY(ORTHOSILICATE)S; ALKYL ACRYLATE COPOLYMERS; SWELLING PROPERTIES; GELS; POLYMERS; SORBENTS; POLLUTANTS; SORPTION; REMOVAL</t>
  </si>
  <si>
    <t>[Yati, Ilker; Aydin, Gulsah Ozan; Sonmez, Hayal Bulbul] Gebze Inst Technol, Dept Chem, TR-41400 Gebze, Kocaeli, Turkey</t>
  </si>
  <si>
    <t>Sonmez, HB (corresponding author), Gebze Inst Technol, Dept Chem, TR-41400 Gebze, Kocaeli, Turkey.</t>
  </si>
  <si>
    <t>hayalsonmez@gyte.edu.tr</t>
  </si>
  <si>
    <t>Yatı, İlker/HNQ-6826-2023</t>
  </si>
  <si>
    <t>Gebze Institute of Technology [2009-A-06]</t>
  </si>
  <si>
    <t>Gebze Institute of Technology(Gebze Teknik University)</t>
  </si>
  <si>
    <t>The authors thank the Gebze Institute of Technology for the support of this work through Project: 2009-A-06.</t>
  </si>
  <si>
    <t>WILEY-BLACKWELL</t>
  </si>
  <si>
    <t>224XN</t>
  </si>
  <si>
    <t>WOS:000324925800008</t>
  </si>
  <si>
    <t>Evaluation of genotoxic potential of styrene in furniture workers using unsaturated polyester resins</t>
  </si>
  <si>
    <t>Styrene is a widely used chemical, mostly in making synthetic rubber, resins, polyesters, plastics and insulators. Increasing attention has been focused on this compound since experiments using cytogenetic end-points have implicated styrene as a potential carcinogen and mutagen. In order to perform biological monitoring of genotoxic exposure to styrene monomer, we evaluated the urinary thioether (UT) excretion, and sister chromatid exchanges (SCEs) and micronuclei (MN) in peripheral lymphocytes from 53 furniture workers employed in small workplaces where polyester resin lamination processings were done and from 41 matched control subjects. The mean air concentration of styrene in the breathing zone of workers was 30.3 ppm. As a metabolic marker for styrene exposure, mandelic acid + phenylglyoxylic acid was measured in the urine and the mean value was 207 mg/g creatinine. The mean +/- SD value of UT excretions of workers was 4.43 +/- 3.42 mmol SH-/mol creatinine and also mean UT for controls was found to be a 2.75 +/- 1.78 mmol SH-/mol creatinine. The mean +/- SD/cell values of SCE frequency in peripheral lymphocytes from the workers and controls were 6.20 +/- 1.56 and 5.23 +/- 1.23, respectively. The mean +/- SD frequencies (parts per thousand) of MN in the exposed and control groups were 1.98 +/- 0.50 and 2.09 +/- 0.35, respectively. Significant effects of work-related exposure were detected in the UT excretion and SCEs analyzed in peripheral blood lymphocytes (p &lt; 0.05 and p &lt; 0.01, respectively). The MN frequency in lymphocytes from the styrene-exposed group did not differ from that in the controls (p &gt; 0.05). Effect of smoking, age and duration of exposure on the genotoxicity parameters analyzed were also evaluated. In conclusion, although our data do not demonstrate a dose-response relationship, they do suggest that styrene exposure was evident and that this styrene exposure may contribute to the observed genotoxic damage in furniture workers.</t>
  </si>
  <si>
    <t>10.1016/S1383-5718(97)00080-6</t>
  </si>
  <si>
    <t>Karakaya, AE; Karahalil, B; Yilmazer, M; Aygun, N; Sardas, S; Burgaz, S</t>
  </si>
  <si>
    <t>MUTATION RESEARCH-GENETIC TOXICOLOGY AND ENVIRONMENTAL MUTAGENESIS</t>
  </si>
  <si>
    <t>styrene; SCE; MN; mandelic acid; phenylglyoxylic acid; urinary thioether (UT) excretion; furniture worker</t>
  </si>
  <si>
    <t>SISTER-CHROMATID EXCHANGES; REINFORCED-PLASTICS INDUSTRY; CHROMOSOMAL-ABERRATIONS; OCCUPATIONAL EXPOSURE; URINARY METABOLITES; BLOOD-LYMPHOCYTES; BOAT BUILDERS; MICRONUCLEI; THIOETHERS; CELLS</t>
  </si>
  <si>
    <t>GAZI UNIV, DEPT TOXICOL, FAC PHARM, TR-06330 HIPODROM, ANKARA, TURKEY</t>
  </si>
  <si>
    <t>Sardas, Semra/J-2175-2018; Karahalil, Bensu/AFU-8097-2022</t>
  </si>
  <si>
    <t>Sardas, Semra/0000-0001-5456-8636; Aygun Kocabas, Neslihan/0000-0001-5811-1430; Burgaz, Sema/0000-0002-9612-5769</t>
  </si>
  <si>
    <t>1383-5718</t>
  </si>
  <si>
    <t>1879-3592</t>
  </si>
  <si>
    <t>MUTAT RES-GEN TOX EN</t>
  </si>
  <si>
    <t>Mutat. Res. Genet. Toxicol. Environ. Mutagen.</t>
  </si>
  <si>
    <t>AUG 14</t>
  </si>
  <si>
    <t>Biotechnology &amp; Applied Microbiology; Genetics &amp; Heredity; Toxicology</t>
  </si>
  <si>
    <t>XV135</t>
  </si>
  <si>
    <t>WOS:A1997XV13500007</t>
  </si>
  <si>
    <t>Plastic surgeon's life: Marvelous for mind, exhausting for body</t>
  </si>
  <si>
    <t>Surgery is accepted as one of the most demanding professions that create both physical and mental strain on the performers. Therefore, the authors aimed to elucidate the mental burden of surgeons, which is dedicated to operative stress. They also tested the hypotheses that participating in surgery creates mental stress on surgeons that leads to cardiovascular changes, and that this stress is more pronounced for actual operators than for first assistants. The method chosen for this purpose was an analysis of heart rate variability. Twelve surgeons (five plastic surgery staff and seven plastic surgery residents) were monitored by a digital ambulatory Holter recorder on at least two occasions. Half of the recordings were carried out on operating days and the other half on office days. Heart rate variability indices (low frequency, high frequency, high frequency/low frequency ratio, and heart rate) were analyzed from those recordings using computerized research tool software. The heart rate variability indices of the operators showed statistically significant differences between operating days and office hours in favor of an increased sympathetic and decreased parasympathetic activity for the former. For first assistants, three of the parameters, with the exception of heart rate, changed in favor of a sympathetic predominance over parasympathetic activity; these changes were also statistically significant. These results showed a sympathetic hyperactivity for both operators and first assistants during the operations. When the sympathovagal balance of the actual operators was compared with that of assistants, the former group showed a more pronounced sympathetic arousal. This difference is accepted as a proof for the mental stress of the surgery being the main factor responsible for the sympathetic hyperactivity that we detected during the operations. Surgeons continuously face a unique mental strain that other professions rarely bring forth, and these psychological stressors are associated with alterations in cardiac autonomic control that may contribute to the development of cardiac disease. Prolonged sympathetic hyperactivity could anticipate cardiac discomfort in more experienced surgeons with marginal cardiac reserve. Such cardiac diseases would be reconsidered as occupation-related illnesses, which might be reimbursed to the physician. In addition, the legal responsibility of surgeons concerning their unfavorable results might be assessed with more understanding with a realization of their undue working conditions.</t>
  </si>
  <si>
    <t>10.1097/01.PRS.0000133166.50279.7C</t>
  </si>
  <si>
    <t>Demirtas, Y; Tulmac, M; Yavuzer, R; Yalcin, R; Ayhan, S; Latifoglu, O; Atabay, K</t>
  </si>
  <si>
    <t>PLASTIC AND RECONSTRUCTIVE SURGERY</t>
  </si>
  <si>
    <t>HEART-RATE-VARIABILITY; POWER SPECTRUM ANALYSIS; SURGICAL FACE MASKS; CIRCADIAN VARIATION; AUTONOMIC FUNCTION; MENTAL STRESS; RISK-FACTORS; HEALTHY; MORTALITY; DISEASE</t>
  </si>
  <si>
    <t>Gazi Univ, Dept Plast Reconstruct &amp; Aesthet Surg, Fac Med, Ankara, Turkey; Gazi Univ, Dept Cardiol, Fac Med, Ankara, Turkey</t>
  </si>
  <si>
    <t>Gazi University; Gazi University</t>
  </si>
  <si>
    <t>Demirtas, Y (corresponding author), Meric Soak, Kardes Apt 25-6 Bestepe, Ankara, Turkey.</t>
  </si>
  <si>
    <t>yenerdemirtas@hotmail.com</t>
  </si>
  <si>
    <t>Ayhan, Mehmet Sühan/AHB-8805-2022</t>
  </si>
  <si>
    <t>Ayhan, Mehmet Sühan/0000-0002-5067-6450; Yavuzer, Reha/0000-0002-8549-0875</t>
  </si>
  <si>
    <t>LIPPINCOTT WILLIAMS &amp; WILKINS</t>
  </si>
  <si>
    <t>TWO COMMERCE SQ, 2001 MARKET ST, PHILADELPHIA, PA 19103 USA</t>
  </si>
  <si>
    <t>0032-1052</t>
  </si>
  <si>
    <t>1529-4242</t>
  </si>
  <si>
    <t>PLAST RECONSTR SURG</t>
  </si>
  <si>
    <t>Plast. Reconstr. Surg.</t>
  </si>
  <si>
    <t>SEP 15</t>
  </si>
  <si>
    <t>851NY</t>
  </si>
  <si>
    <t>WOS:000223693000017</t>
  </si>
  <si>
    <t>Floating macrolitter leaked from Europe into the ocean</t>
  </si>
  <si>
    <t>Riverine systems act as converging pathways for discarded litter within drainage basins, becoming key elements in gauging the transfer of mismanaged waste into the ocean. However, riverine litter data are scarce and biased towards microplastics, generally lacking information about larger items. Based on the first ever database of riverine floating macrolitter across Europe, we have estimated that between 307 and 925 million litter items are released annually from Europe into the ocean. The plastic fraction represented 82% of the observed litter, mainly fragments and single-use items (that is, bottles, packaging and bags). Our modelled estimates show that a major portion of the total litter loading is routed through small-sized drainage basins (&lt;100 km(2)), indicating the relevance of small rivers, streams and coastal run-off. Moreover, the major contribution of high-income countries to the macrolitter inputs suggests that reducing ocean pollution cannot be achieved only by improving waste management, but also requires changing consumption habits and behaviour to curb waste generation at source. The inability of countries with well-developed recovery systems to control the leakage of waste into the environment further supports the need to regulate the production and use of plastic on a global scale. Riverine systems help transfer mismanaged waste into the ocean, but riverine litter data are scarce. Using a database of riverine floating macrolitter across Europe, this study estimates that 307-925 million litter items-82% of which is plastic-are transferred annually from Europe into the ocean.</t>
  </si>
  <si>
    <t>10.1038/s41893-021-00722-6</t>
  </si>
  <si>
    <t>Gonzalez-Fernandez, D; Cozar, A; Hanke, G; Viejo, J; Morales-Caselles, C; Bakiu, R; Barcelo, D; Bessa, F; Bruge, A; Cabrera, M; Castro-Jimenez, J; Constant, M; Crosti, R; Galletti, Y; Kideys, AE; Machitadze, N; de Brito, JP; Pogojeva, M; Ratola, N; Rigueira, J; Rojo-Nieto, E; Savenko, O; Schoneich-Argent, RI; Siedlewicz, G; Suaria, G; Tourgeli, M</t>
  </si>
  <si>
    <t>Gonzalez-Fernandez, Daniel; Cozar, Andres; Hanke, Georg; Viejo, Josue; Morales-Caselles, Carmen; Bakiu, Rigers; Barcelo, Damia; Bessa, Filipa; Bruge, Antoine; Cabrera, Maria; Castro-Jimenez, Javier; Constant, Mel; Crosti, Roberto; Galletti, Yuri; Kideys, Ahmet E.; Machitadze, Nino; de Brito, Joana Pereira; Pogojeva, Maria; Ratola, Nuno; Rigueira, Julia; Rojo-Nieto, Elisa; Savenko, Oksana; Schoeneich-Argent, Rosanna, I; Siedlewicz, Grzegorz; Suaria, Giuseppe; Tourgeli, Myrto</t>
  </si>
  <si>
    <t>NATURE SUSTAINABILITY</t>
  </si>
  <si>
    <t>PLASTIC DEBRIS; LITTER; RIVER; SEA; TRANSPORT</t>
  </si>
  <si>
    <t>[Gonzalez-Fernandez, Daniel; Cozar, Andres; Viejo, Josue; Morales-Caselles, Carmen] Univ Cadiz, Inst Univ Invest Marina, Dept Biol, Puerto Real, Spain; [Gonzalez-Fernandez, Daniel; Cozar, Andres; Viejo, Josue; Morales-Caselles, Carmen] European Univ Seas, Puerto Real, Spain; [Hanke, Georg] European Commiss, Joint Res Ctr, Ispra, Italy; [Bakiu, Rigers] Agr Univ Tirana, Fac Agr &amp; Environm, Dept Aquaculture &amp; Fisheries, Tirana, Albania; [Barcelo, Damia] Univ Girona, Catalan Inst Water Res ICRA CERCA, Girona, Spain; [Barcelo, Damia] IDAEA CSIC, Dept Environm Chem, Water &amp; Soil Res Grp, Barcelona, Spain; [Bessa, Filipa] Univ Coimbra, MARE Marine &amp; Environm Sci Ctr, Dept Life Sci, Coimbra, Portugal; [Bruge, Antoine] Surfrider Fdn Europe, Biarritz, France; [Cabrera, Maria] Paisaje Limpio Assoc, Majadahonda, Spain; [Castro-Jimenez, Javier] Univ Toulon &amp; Var, Aix Marseille Univ, Mediterranean Inst Oceanog, CNRS,IRD, Marseille, France; [Constant, Mel] Univ Perpignan Via Domitia, Ctr Format &amp; Rech Environm Mediterraneens, UMR CNRS 5110, Perpignan, France; [Crosti, Roberto] Ist Super Protez &amp; Ric Ambientale, BIO SOST, Rome, Italy; [Galletti, Yuri] CNR, Biophys Inst, Pisa, Italy; [Kideys, Ahmet E.] Middle East Tech Univ, METU Inst Marine Sci, Mersin, Turkey; [Machitadze, Nino] Tbilisi State Univ, LEPL Alexandre Janelidze Inst Geol, Dept Physicochem Res, Tbilisi, Georgia; [de Brito, Joana Pereira] Aguas Gaia EM, Vila Nova De Gaia, Portugal; [Pogojeva, Maria] State Oceanog Inst, Moscow, Russia; [Ratola, Nuno] Univ Porto, Fac Engn, Lab Proc Engn Environm Biotechnol &amp; Energy, Porto, Portugal; [Rigueira, Julia] OIKOS Associa Def Ambiente &amp; Patrimonio Regiao Le, Leiria, Portugal; [Rojo-Nieto, Elisa] Univ Cadiz, Dept Environm Technol, Int Campus Excellence Sea, Puerto Real, Spain; [Savenko, Oksana] Ukrainian Sci Ctr Ecol Sea, Odesa, Ukraine; [Savenko, Oksana] Natl Antarctic Sci Ctr Ukraine, Kiev, Ukraine; [Schoeneich-Argent, Rosanna, I] Carl von Ossietzky Univ Oldenburg, Inst Chem &amp; Biol Marine Environm, Wilhelmshaven, Germany; [Siedlewicz, Grzegorz] Polish Acad Sci, Inst Oceanol, Dept Marine Chem &amp; Biochem, Sopot, Poland; [Suaria, Giuseppe] CNR, Inst Marine Sci, Lerici, Italy; [Tourgeli, Myrto] Univ Aegean, Dept Marine Sci, Lesbos, Greece; [Castro-Jimenez, Javier] IFREMER, Lab Biogeochem Organ Contaminants, Nantes, France; [Rojo-Nieto, Elisa] UFZ Helmholtz Ctr Environm Res, Dept Ecol Chem, Leipzig, Germany; [Schoeneich-Argent, Rosanna, I] Friends Earth Germany, Bund Umwelt &amp; Nat Schutz Deutschland, Hannover, Germany</t>
  </si>
  <si>
    <t>Universidad de Cadiz; European Commission Joint Research Centre; EC JRC ISPRA Site; Universitat de Girona; Consejo Superior de Investigaciones Cientificas (CSIC); CSIC - Centro de Investigacion y Desarrollo Pascual Vila (CID-CSIC); CSIC - Instituto de Diagnostico Ambiental y Estudios del Agua (IDAEA); Universidade de Coimbra; Centre National de la Recherche Scientifique (CNRS); Institut de Recherche pour le Developpement (IRD); UDICE-French Research Universities; Aix-Marseille Universite; Universite de Toulon; Centre National de la Recherche Scientifique (CNRS); Universite Perpignan Via Domitia; Italian Institute for Environmental Protection &amp; Research (ISPRA); Consiglio Nazionale delle Ricerche (CNR); Middle East Technical University; Ivane Javakhishvili Tbilisi State University; Universidade do Porto; Universidad de Cadiz; Ukrainian Scientific Center of Ecology of the Sea (UkrSCES); Ministry of Education &amp; Science of Ukraine; State Institution National Antarctic Scientific Center; Carl von Ossietzky Universitat Oldenburg; Polish Academy of Sciences; Institute of Oceanology of the Polish Academy of Sciences; Consiglio Nazionale delle Ricerche (CNR); Istituto di Scienze Marine (ISMAR-CNR); University of Aegean; Ifremer; Helmholtz Association; Helmholtz Center for Environmental Research (UFZ)</t>
  </si>
  <si>
    <t>Gonzalez-Fernandez, D (corresponding author), Univ Cadiz, Inst Univ Invest Marina, Dept Biol, Puerto Real, Spain.;Gonzalez-Fernandez, D (corresponding author), European Univ Seas, Puerto Real, Spain.</t>
  </si>
  <si>
    <t>Machitadze, Nino/AHB-7679-2022; Morales-Caselles, Carmen/ABE-8043-2021; BARCELO, DAMIA/O-4558-2016; Bakiu, Rigers/AFC-7827-2022; Suaria, Giuseppe/O-4210-2014; González-Fernández, Daniel/O-7831-2017; KIDEYS, Ahmet Erkan/HZK-4698-2023; Ratola, Nuno/I-6670-2013; Bessa, Filipa/E-4941-2014; Cozar Cabanas, Andres/G-2141-2016</t>
  </si>
  <si>
    <t>Morales-Caselles, Carmen/0000-0002-3429-2027; BARCELO, DAMIA/0000-0002-8873-0491; Bakiu, Rigers/0000-0002-9613-4606; Suaria, Giuseppe/0000-0002-4290-349X; González-Fernández, Daniel/0000-0002-6958-7845; Bessa, Filipa/0000-0002-6602-3710; Savenko, Oksana/0000-0001-6719-4602; Castro Jimenez, Javier/0000-0001-8456-3932; Machitadze, Nino/0000-0001-5173-3923; Bruge, Antoine/0000-0002-0548-234X; Rojo Nieto, Elisa/0000-0001-5765-7183; KIDEYS, AHMET ERKAN/0000-0002-1113-2434; Cabrera-Fernandez, Maria/0000-0001-5396-977X; Cozar Cabanas, Andres/0000-0003-1370-9935; Constant, Mel/0000-0003-4808-4373; Ratola, Nuno/0000-0002-4102-9606</t>
  </si>
  <si>
    <t>NATURE RESEARCH</t>
  </si>
  <si>
    <t>HEIDELBERGER PLATZ 3, BERLIN, 14197, GERMANY</t>
  </si>
  <si>
    <t>2398-9629</t>
  </si>
  <si>
    <t>NAT SUSTAIN</t>
  </si>
  <si>
    <t>Nat. Sustain.</t>
  </si>
  <si>
    <t>SU3GR</t>
  </si>
  <si>
    <t>Green Published, Green Submitted</t>
  </si>
  <si>
    <t>WOS:000663029500005</t>
  </si>
  <si>
    <t>Methylene blue removal by alginate-clay quasi-cryogel beads</t>
  </si>
  <si>
    <t>Nowadays, dyes constitute a large part of pollutants and have long been used in dyeing, paper and pulp, textiles, plastics, leather, cosmetics, and food industries. Among the conventional dye removal techniques, adsorption is prominent. Research challenges are on developing low-cost, biodegradable and efficient adsorbents. This study investigates polysaccharide-clay composite beads for the removal of methylene blue dye. Alginate-montmorillonite composite beads were prepared and then a novel cryogelation-like strategy was developed by deep-freezing the alginate beads at -21 degrees C. This process changed the morphology of beads and improved surface area and adsorption capacity. The results of the batch adsorption experiments were modeled using isothermal, kinetic, and thermodynamic models. It is found that the adsorption is favorable and follows physical mechanism, with an endothermic process up to 40 degrees C. The prepared composite beads are candidates for effective adsorbents for the dye removal. (C) 2016 Elsevier B.V. All rights reserved.</t>
  </si>
  <si>
    <t>10.1016/j.reactfunctpolym.2016.07.001</t>
  </si>
  <si>
    <t>Uyar, G; Kaygusuz, H; Erim, FB</t>
  </si>
  <si>
    <t>Uyar, Guler; Kaygusuz, Hakan; Erim, F. Bedia</t>
  </si>
  <si>
    <t>REACTIVE &amp; FUNCTIONAL POLYMERS</t>
  </si>
  <si>
    <t>Dye removal; Methylene blue; Montmorillonite; Alginate; Cryogel</t>
  </si>
  <si>
    <t>AQUEOUS-SOLUTION; ADSORPTION; DYE; MONTMORILLONITE; COMPOSITES; ADSORBENTS; KINETICS; WASTEWATERS; RELEASE; GASES</t>
  </si>
  <si>
    <t>[Uyar, Guler; Kaygusuz, Hakan; Erim, F. Bedia] Istanbul Tech Univ, Dept Chem, TR-34469 Istanbul, Turkey</t>
  </si>
  <si>
    <t>Erim, FB (corresponding author), ITU Fen Edebiyat Fak, Kimya Bolumu, TR-34469 Istanbul, Turkey.</t>
  </si>
  <si>
    <t>erim@itu.edu.tr</t>
  </si>
  <si>
    <t>Erim, Fatma Bedia/A-7629-2016; Kaygusuz, Hakan/H-8589-2013; Kaygusuz, Hakan/ABB-1262-2021</t>
  </si>
  <si>
    <t>Erim, Fatma Bedia/0000-0001-9406-6681; Kaygusuz, Hakan/0000-0001-9336-1902</t>
  </si>
  <si>
    <t>Istanbul Technical University(Istanbul Technical University)</t>
  </si>
  <si>
    <t>This work is a part of Guler Uyar's MSc thesis and funded by Istanbul Technical University.</t>
  </si>
  <si>
    <t>1381-5148</t>
  </si>
  <si>
    <t>1873-166X</t>
  </si>
  <si>
    <t>REACT FUNCT POLYM</t>
  </si>
  <si>
    <t>React. Funct. Polym.</t>
  </si>
  <si>
    <t>Chemistry, Applied; Engineering, Chemical; Polymer Science</t>
  </si>
  <si>
    <t>Chemistry; Engineering; Polymer Science</t>
  </si>
  <si>
    <t>DV3EG</t>
  </si>
  <si>
    <t>WOS:000382803200001</t>
  </si>
  <si>
    <t>Advances in microfluidic devices made from thermoplastics used in cell biology and analyses</t>
  </si>
  <si>
    <t>Silicon and glass were the main fabrication materials of microfluidic devices, however, plastics are on the rise in the past few years. Thermoplastic materials have recently been used to fabricate microfluidic platforms to perform experiments on cellular studies or environmental monitoring, with low cost disposable devices. This review describes the present state of the development and applications of microfluidic systems used in cell biology and analyses since the year 2000. Cultivation, separation/isolation, detection and analysis, and reaction studies are extensively discussed, considering only microorganisms (bacteria, yeast, fungi, zebra fish, etc.) and mammalian cell related studies in the microfluidic platforms. The advantages/disadvantages, fabrication methods, dimensions, and the purpose of creating the desired system are explained in detail. An important conclusion of this review is that these microfluidic platforms are still open for research and development, and solutions need to be found for each case separately. Published by AIP Publishing.</t>
  </si>
  <si>
    <t>10.1063/1.4998604</t>
  </si>
  <si>
    <t>Gencturk, E; Mutlu, S; Ulgen, KO</t>
  </si>
  <si>
    <t>Gencturk, Elif; Mutlu, Senol; Ulgen, Kutlu O.</t>
  </si>
  <si>
    <t>BIOMICROFLUIDICS</t>
  </si>
  <si>
    <t>CIRCULATING TUMOR-CELLS; CYCLO-OLEFIN POLYMER; MICROBIAL FUEL-CELL; PROSTATE-CANCER; ANALYSIS SYSTEM; CULTURE-SYSTEM; WHOLE-BLOOD; CHIP; LAB; FABRICATION</t>
  </si>
  <si>
    <t>[Gencturk, Elif; Ulgen, Kutlu O.] Bogazici Univ, Dept Chem Engn, Biosyst Engn Lab, TR-34342 Istanbul, Turkey; [Mutlu, Senol] Bogazici Univ, Dept Elect &amp; Elect Engn, BUMEMS Lab, TR-34342 Istanbul, Turkey</t>
  </si>
  <si>
    <t>Ulgen, KO (corresponding author), Bogazici Univ, Dept Chem Engn, Biosyst Engn Lab, TR-34342 Istanbul, Turkey.</t>
  </si>
  <si>
    <t>ulgenk@boun.edu.tr</t>
  </si>
  <si>
    <t>Ulgen, Kutlu/AAF-3350-2020; Mutlu, Senol/C-6680-2015; Gencturk, Elif/AAF-6439-2020</t>
  </si>
  <si>
    <t>Mutlu, Senol/0000-0003-4515-5770; Ulgen, Kutlu/0000-0003-3668-3467</t>
  </si>
  <si>
    <t>Bogazici University [R9701, M11141]</t>
  </si>
  <si>
    <t>Bogazici University(Bogazici University)</t>
  </si>
  <si>
    <t>The financial support of the Bogazici University Research Fund through project Nos. R9701 and M11141 is gratefully acknowledged.</t>
  </si>
  <si>
    <t>AMER INST PHYSICS</t>
  </si>
  <si>
    <t>MELVILLE</t>
  </si>
  <si>
    <t>1305 WALT WHITMAN RD, STE 300, MELVILLE, NY 11747-4501 USA</t>
  </si>
  <si>
    <t>1932-1058</t>
  </si>
  <si>
    <t>Biomicrofluidics</t>
  </si>
  <si>
    <t>Biochemical Research Methods; Biophysics; Nanoscience &amp; Nanotechnology; Physics, Fluids &amp; Plasmas</t>
  </si>
  <si>
    <t>Biochemistry &amp; Molecular Biology; Biophysics; Science &amp; Technology - Other Topics; Physics</t>
  </si>
  <si>
    <t>FK7VU</t>
  </si>
  <si>
    <t>WOS:000413716200003</t>
  </si>
  <si>
    <t>Insights into pyrolysis and co-pyrolysis of biomass and polystyrene: Thermochemical behaviors, kinetics and evolved gas analysis</t>
  </si>
  <si>
    <t>The purpose of this study was to investigate the effect on polystyrene (PS) during co-pyrolysis with biomass through thermal decomposition. The model-free iso-conversional methods (Kissinger, Friedman, Flynn-WallOzawa, Kissinger-Akahira-Sunose, Starink and Vyazovkin) were adopted to calculate activation energy of the pyrolysis and co-pyrolysis process of two biomass samples (walnut shell: WS and peach stones: PST) with PS. It is found that biomass blending to PS decreased activation energy values and resulted in multi-step reaction mechanisms. Furthermore, changes in the evolution profiles of methyl, water, methoxy, carbon dioxide, benzene and styrene was monitored through evolved gas analysis via TGA/FT-IR and TGA/MS. Detection of temperature dependent release of volatiles indicated the differences occur as a result of compositional differences of biomass.</t>
  </si>
  <si>
    <t>10.1016/j.enconman.2017.07.059</t>
  </si>
  <si>
    <t>Ozsin, G; Putun, AE</t>
  </si>
  <si>
    <t>Ozsin, Gamzenur; Putun, Ayse Eren</t>
  </si>
  <si>
    <t>ENERGY CONVERSION AND MANAGEMENT</t>
  </si>
  <si>
    <t>Biomass; Polystyrene; Pyrolysis; TGA/MS/FT-IR; Kinetic; Gas analysis</t>
  </si>
  <si>
    <t>THERMAL-DECOMPOSITION; ACTIVATION-ENERGY; THERMOGRAVIMETRIC ANALYSIS; HEATING RATE; WASTE; CONVERSION; WOOD; PRODUCE; CELLULOSE; PLASTICS</t>
  </si>
  <si>
    <t>[Ozsin, Gamzenur; Putun, Ayse Eren] Anadolu Univ, Dept Chem Engn, Fac Engn, TR-26555 Eskisehir, Turkey</t>
  </si>
  <si>
    <t>Anadolu University</t>
  </si>
  <si>
    <t>Ozsin, G (corresponding author), Anadolu Univ, Dept Chem Engn, Fac Engn, TR-26555 Eskisehir, Turkey.</t>
  </si>
  <si>
    <t>Özsin, Gamzenur/GWR-2271-2022; ÖZSİN, Gamzenur/O-5131-2019</t>
  </si>
  <si>
    <t>TUBITAK through the BIDEB 2214-A</t>
  </si>
  <si>
    <t>TUBITAK through the BIDEB 2214-A(Turkiye Bilimsel ve Teknolojik Arastirma Kurumu (TUBITAK))</t>
  </si>
  <si>
    <t>The authors would like to acknowledge the financial support of TUBITAK through the BIDEB 2214-A to foster international collaborations for further complementary research.</t>
  </si>
  <si>
    <t>0196-8904</t>
  </si>
  <si>
    <t>1879-2227</t>
  </si>
  <si>
    <t>ENERG CONVERS MANAGE</t>
  </si>
  <si>
    <t>Energy Conv. Manag.</t>
  </si>
  <si>
    <t>Thermodynamics; Energy &amp; Fuels; Mechanics</t>
  </si>
  <si>
    <t>FH9MW</t>
  </si>
  <si>
    <t>WOS:000411537200056</t>
  </si>
  <si>
    <t>The effect of zinc oxide nanoparticles on the weathering performance of wood-plastic composites</t>
  </si>
  <si>
    <t>In recent years, wood-plastic composites (WPCs) have become among the most popular engineering materials. Most of their usage areas are outdoors, where they encounter various damaging factors. The weathering conditions cause significant deterioration to WPC surfaces, which negatively influences their service life. In this study, zinc oxide nanoparticles at different concentrations (1%, 3%, 5%, 10%) were added to a high-density polyethylene-based WPC matrix. The effect of zinc oxide nanoparticles on the weathering performance of WPC was evaluated after 840 hours of an artificial weathering test. The highest colour changes ( increment E*) were monitored with control samples exposed for 840 hours. Adding zinc oxide nanoparticles improved the ultraviolet (UV) resistance and decreased the colour changes. The wood flour content also affected the colour changes on the WPC surface. A combination of 10% zinc oxide nanoparticles and 50% wood flour content provided the lowest colour changes. The barrier effect of nanoparticles protected the WPC surfaces from UV light. Zinc oxide nanoparticles also positively affected the load transfer, which restricted the reduction in mechanical properties after the weathering test. The degradation on the surface of WPCs was also investigated using attenuated total reflectance-Fourier Transform-infrared analysis. The changes in the characteristic bands of polymer and wood indicated that surface degradation was inevitable. Light and scanning electron microscopy images also demonstrated micro-cracks and roughness on the surface of WPCs. It is concluded that UV degradation is unavoidable, but zinc oxide nanoparticles can improve surface resistance against weathering conditions.</t>
  </si>
  <si>
    <t>10.1111/cote.12666</t>
  </si>
  <si>
    <t>Durmaz, S; Keles, OO; Aras, U; Erdil, YZ; Mengeloglu, F</t>
  </si>
  <si>
    <t>Durmaz, Sefa; Keles, Ozlem Ozgenc; Aras, Ugur; Erdil, Yusuf Ziya; Mengeloglu, Fatih</t>
  </si>
  <si>
    <t>COLORATION TECHNOLOGY</t>
  </si>
  <si>
    <t>DENSITY POLYETHYLENE; MECHANICAL-PROPERTIES; SURFACE-PROPERTIES; PROPERTY; STABILIZERS; BEHAVIOR</t>
  </si>
  <si>
    <t>[Durmaz, Sefa] Mugla Sitki Kocman Univ, Kavaklidere Vocat Sch, Dept Forestry &amp; Forest Prod, Mugla, Turkey; [Keles, Ozlem Ozgenc] Karadeniz Tech Univ, Forest Fac, Dept Forest Ind Engn, Trabzon, Turkey; [Aras, Ugur] Karadeniz Tech Univ, Arsin Vocat Sch, Dept Mat &amp; Mat Proc Technol, Trabzon, Turkey; [Erdil, Yusuf Ziya] Mugla Sitki Kocman Univ, Technol Fac, Dept Woodworking Ind Engn, Mugla, Turkey; [Mengeloglu, Fatih] Kahramanmaras Sutcu Imam Univ, Forest Fac, Dept Forest Ind Engn, Kahramanmaras, Turkey</t>
  </si>
  <si>
    <t>Mugla Sitki Kocman University; Karadeniz Technical University; Karadeniz Technical University; Mugla Sitki Kocman University; Kahramanmaras Sutcu Imam University</t>
  </si>
  <si>
    <t>Durmaz, S (corresponding author), Mugla Sitki Kocman Univ, Kavaklidere Vocat Sch, Dept Forestry &amp; Forest Prod, Mugla, Turkey.</t>
  </si>
  <si>
    <t>sefadurmaz@mu.edu.tr</t>
  </si>
  <si>
    <t>Özgenç Keleş, Özlem/V-5449-2017; Erdil, Yusuf Ziya/AAG-4385-2019</t>
  </si>
  <si>
    <t>Özgenç Keleş, Özlem/0000-0001-9985-3641; Erdil, Yusuf Ziya/0000-0003-3938-2168; DURMAZ, SEFA/0000-0002-3880-0033; ARAS, UGUR/0000-0002-1572-0727</t>
  </si>
  <si>
    <t>Scientific and Technological Research Council of Turkey (TUBITAK);  [121O909]</t>
  </si>
  <si>
    <t xml:space="preserve">Scientific and Technological Research Council of Turkey (TUBITAK)(Turkiye Bilimsel ve Teknolojik Arastirma Kurumu (TUBITAK)); </t>
  </si>
  <si>
    <t>ACKNOWLEDGEMENTS The Scientific and Technological Research Council of Turkey (TUBITAK) (Project No: 121O909). A part of this study was presented at The 30th International Online conference Research for Furniture Industry on 22-23 September 2022.</t>
  </si>
  <si>
    <t>1472-3581</t>
  </si>
  <si>
    <t>1478-4408</t>
  </si>
  <si>
    <t>COLOR TECHNOL</t>
  </si>
  <si>
    <t>Color. Technol.</t>
  </si>
  <si>
    <t>Chemistry, Applied; Engineering, Chemical; Materials Science, Textiles</t>
  </si>
  <si>
    <t>Chemistry; Engineering; Materials Science</t>
  </si>
  <si>
    <t>L1WY4</t>
  </si>
  <si>
    <t>WOS:000905209500001</t>
  </si>
  <si>
    <t>The Influence of Land Use on Coastal Litter: An Approach to Identify Abundance and Sources in the Coastal Area of Cilician Basin, Turkey</t>
  </si>
  <si>
    <t>The Cilician Basin located in the Northeastern Mediterranean is a region that is affected by a diversity of anthropogenic pressures and is further expected to suffer from negative economic, environmental and social impacts of coastal litter. To provide a baseline for litter management plans, the standing crop of coastal macro-litter was sampled on 13 beaches following MSFD guidelines. Environmental predictors characterizing beach use and potential land based litter point sources in the vicinity of the beaches were related to litter densities to identify litter sources. The average litter density was 0.92 +/- 0.36 items/m(2). Litter items resulting from convenience food consumption and smoking made up more than half of the total litter collected, while agricultural, industrial, fishing activities together contributed only 6% of the total number of items. Plastic items on average constituted more than 80% of the dominant material type. Percentages of the litter transported with currents from neighbouring countries (transboundary litter) varied from 0 - 4.23% between beaches. Direct deposition on the beaches was identified as the main method for transport of items to the coastal environment. Our results show poor local awareness and underline the need for educational programs that can help reduce coastal litter.</t>
  </si>
  <si>
    <t>10.4194/1303-2712-v16_1_04</t>
  </si>
  <si>
    <t>Aydin, C; Guven, O; Salihoglu, B; Kideys, AE</t>
  </si>
  <si>
    <t>Aydin, Carina; Guven, Olgac; Salihoglu, Baris; Kideys, Ahmet Erkan</t>
  </si>
  <si>
    <t>Beach litter; MSFD; marine litter; litter classification; functional litter groups</t>
  </si>
  <si>
    <t>BRISTOL CHANNEL; PLASTIC DEBRIS; MARINE DEBRIS; TRAWL CATCHES; BEACH DEBRIS; IMPACT; POLLUTION; MERSIN</t>
  </si>
  <si>
    <t>[Guven, Olgac; Salihoglu, Baris; Kideys, Ahmet Erkan] Middle E Tech Univ, Inst Marine Sci Marine Biol &amp; Fisheries, Erdemli, Turkey; [Aydin, Carina] Univ Kiel, Ctr Ecol, Kiel, Germany</t>
  </si>
  <si>
    <t>Middle East Technical University; University of Kiel</t>
  </si>
  <si>
    <t>Aydin, C (corresponding author), Univ Kiel, Ctr Ecol, Kiel, Germany.</t>
  </si>
  <si>
    <t>KIDEYS, Ahmet Erkan/HZK-4698-2023; Salihoglu, Baris/D-1376-2010; KIDEYS, Ahmet E/Q-1824-2015; GÜVEN, Olgaç/D-2399-2009</t>
  </si>
  <si>
    <t>Salihoglu, Baris/0000-0002-7510-7713; GÜVEN, Olgaç/0000-0002-0920-673X; KIDEYS, AHMET ERKAN/0000-0002-1113-2434</t>
  </si>
  <si>
    <t>European Commission [FPA 532524-1-FR-2012-ERA MUNDUS-EMMC]; SEAS-ERA through the project Marine Environmental Targets linked to Regional Management Schemes based on Indicators developed for the Mediterranean (SEAS-ERA: Mermaid) [TUBITAK: 112Y394]; DEKOSIM project - T.C. Ministry of Development [BAP - 08-11-DPT2012K120880]</t>
  </si>
  <si>
    <t>European Commission(European Union (EU)European Commission Joint Research Centre); SEAS-ERA through the project Marine Environmental Targets linked to Regional Management Schemes based on Indicators developed for the Mediterranean (SEAS-ERA: Mermaid); DEKOSIM project - T.C. Ministry of Development</t>
  </si>
  <si>
    <t>This project was financially supported by the European Commission through the program Erasmus Mundus Master Course - International Master in Applied Ecology (EMMC-IMAE) (FPA 532524-1-FR-2012-ERA MUNDUS-EMMC) and by SEASERA through the project Marine Environmental Targets linked to Regional Management Schemes based on Indicators developed for the Mediterranean (SEAS-ERA: Mermaid - TUBITAK: 112Y394) and DEKOSIM project (BAP - 08-11-DPT2012K120880) funded by T.C. Ministry of Development.</t>
  </si>
  <si>
    <t>DP9KP</t>
  </si>
  <si>
    <t>WOS:000378815400004</t>
  </si>
  <si>
    <t>Fluorescence study on Al2O3-polystyrene latex composite film formation</t>
  </si>
  <si>
    <t>This work reports a steady state fluorescence (SSF) technique for studying film formation from mixture of Al2O3 and polystyrene (PS) latex particles. The composite films were prepared from dispersion of pyrene (P)labeled PS particles in Al2O3 solution at room temperature and annealed at elevated temperatures in 10-min time interval above glass transition (T-g) temperature of polystyrene. Nine different composites film were studied in various latex contents. Fluorescence intensities (I-P) from P were measured after each annealing step to monitor the stages of film formation. No variations in I-p were detected for the films prepared with higher than 33 wt% Al2O3 content. However films prepared below 33 wt% Al2O3 content show considerable increase in I-P above the certain onset temperature called minimum film forming temperature, To. Healing temperatures T., were determined from the maxima of I-P. Void closure and interdiffusion stages were modeled and related activation energies were determined and found to be 20 and 97 kJ.mol(-1), respectively. (c) 2005 Society of Plastics Engineers.</t>
  </si>
  <si>
    <t>10.1002/pc.20109</t>
  </si>
  <si>
    <t>Ugur, S; Salman, OU; Tepehan, G; Tepehan, F; Pekcan, O</t>
  </si>
  <si>
    <t>TEMPERATURE-DEPENDENCE; PHOTON TRANSMISSION; POLYMER INTERFACES; STRESS DEVELOPMENT; VOID CLOSURE; PARTICLES; DIFFUSION; INTERDIFFUSION; VISCOSITY; COATINGS</t>
  </si>
  <si>
    <t>Isik Univ, Dept Phys, TR-34469 Istanbul, Turkey</t>
  </si>
  <si>
    <t>Isik University</t>
  </si>
  <si>
    <t>Pekcan, O (corresponding author), Isik Univ, Dept Phys, TR-34469 Istanbul, Turkey.</t>
  </si>
  <si>
    <t>pekcan@itu.edu.tr</t>
  </si>
  <si>
    <t>PEKCAN, Onder/Y-3158-2018</t>
  </si>
  <si>
    <t>PEKCAN, Onder/0000-0002-0082-8209</t>
  </si>
  <si>
    <t>941YW</t>
  </si>
  <si>
    <t>WOS:000230251100012</t>
  </si>
  <si>
    <t>Alternative treatments to methyl bromide in the eastern mediterranean region of Turkey</t>
  </si>
  <si>
    <t>This study aimed to establish the economic and technical applicability of the alternative control methods to methyl bromide (MB) in pepper and eggplant. These crops were grown in plastic houses and tunnels including open field strawberry cultivation. in the East Mediterranean region of Turkey and were assessed over the 2000-2002 growing season. In addition the study using a pre and post questionnaire aimed to monitor the change in farmer practices who have adopted alternative techniques other than MB, and their understanding of the environmental concerns associated with MB such as ozone depletion. Experiments were conducted under farmer's field conditions, and solarization was combined with fresh cow manure, low dosage pesticides and/or antagonistic microorganisms. Effect of these treatments on soil-borne pathogens and nematodes were determined, and also yield. The results indicated solarization combined with dazomet at 400 kg ha(-1) was just as effective as MB application to soil-borne diseases and nematode control in plastic-houses. In this treatment; yield was obtained as much as in MB treatments in eggplant, while pepper and strawberry yield was less. Yield was determined as 109 and 36 t ha(-1) in fresh cow manure combined with solarization treatment, however it was 115 and 51 t ha(-1) in MB in eggplant and strawberry, respectively. This application was preferred to the MB alternative due to its low cost applicability. Results obtained from the questionnaire indicated that 91 % of the farmers were using MB in 2000, and this decreased to 66% by 2002. Farmers' awareness to the alternative applications to MB increasing from 3% to 13%, and that MB is an ozone depleting fumigant over the same period rose from 7% to 13%.</t>
  </si>
  <si>
    <t>Yucel, S; Elekcioglu, IH; Can, C; Sogut, MA; Ozarslandan, A</t>
  </si>
  <si>
    <t>Yucel, Seral; Elekcioglu, Ibrahim Halil; Can, Canan; Sogut, Mehmet Ali; Ozarslandan, Adem</t>
  </si>
  <si>
    <t>TURKISH JOURNAL OF AGRICULTURE AND FORESTRY</t>
  </si>
  <si>
    <t>methyl bromide; solarization; dazomet; soil-borne pathogen; root-knot nematode; questionnaire</t>
  </si>
  <si>
    <t>SOIL SOLARIZATION; TOMATO; CROWN</t>
  </si>
  <si>
    <t>Plant Protect Res Inst, Adana, Turkey; Cukurova Univ, Fac Agr, Dept Plant Protect, Adana, Turkey; Univ Gaziantep, Fac Sci &amp; Letter, Dept Biol, Gaziantep, Turkey</t>
  </si>
  <si>
    <t>Ministry of Food, Agriculture &amp; Livestock - Turkey; Cukurova University; Gaziantep University</t>
  </si>
  <si>
    <t>Yucel, S (corresponding author), Plant Protect Res Inst, Adana, Turkey.</t>
  </si>
  <si>
    <t>seralyucel@hotmail.com</t>
  </si>
  <si>
    <t>Elekcioglu, Ibrahim Halil/G-3694-2018; Can, Canan/AAG-5529-2020</t>
  </si>
  <si>
    <t>TUBITAK SCIENTIFIC AND TECHNICAL RESEARCH COUNCIL OF TURKEY</t>
  </si>
  <si>
    <t>ATATURK BULVARI NO. 221, KAVAKLIDERE, ANKARA, TURKEY</t>
  </si>
  <si>
    <t>1300-011X</t>
  </si>
  <si>
    <t>TURK J AGRIC FOR</t>
  </si>
  <si>
    <t>Turk. J. Agric. For.</t>
  </si>
  <si>
    <t>Agriculture, Multidisciplinary; Agronomy; Forestry</t>
  </si>
  <si>
    <t>Agriculture; Forestry</t>
  </si>
  <si>
    <t>176FO</t>
  </si>
  <si>
    <t>WOS:000247070200006</t>
  </si>
  <si>
    <t>EXHALED NITRIC OXIDE LEVELS (FENO) IN DIFFERENT INDUSTRY WORKERS</t>
  </si>
  <si>
    <t>Importance of measurement of Fractional Exhaled Nitric Oxide (FeNO) level has been increasing in recent years in the follow-up of many respiratory diseases, especially asthma. FeNO levels are known to be an indicator of airway inflammation. It is aimed to evaluate the FeNO measurement results in order to determine the risk in terms of occupational asthma in metal - casting, bakery, plastic and textile sectors. Our cross-sectional study was carried out 309 workers, 103 metal-casting, 44 in plastic sector, 42 in textile sector, 45 in bread production sector and 75 in the control group, aged 18-60 years between 2 January- 30 March 2017. in lkitelli Organized Industrial Zone, Istanbul. Ages, heights, weights, body mass indexes (BMIs), waist circumferences, working periods, smoking habits, current symptoms and use of protective masks of participant workers were questioned. FeNO levels were measured and the relationship between these parameters and pulmonary function parameters was examined. This difference was statistically significant when FeNO levels in the study group were measured higher than control group. Age, height, weight, BMI, waist circumference, working period and presence of symptoms were not significantly correlated with FeNO levels, but FeNO level was significantly lower in current smokers compared to ex-smokers or nonsmokers. It was found statistically significant that the FeNO values of those with FEV1 (%) lower than 80% among the subjects included in the study were higher than 25. Measurement of the fraction of nitric oxide in exhaled breath (FeNO) has been proposed as a non invasive marker of airway inflammation. Periodic monitoring of FeNO level of employees may be useful for early diagnosis of occupational disease. However, more studies are needed on this subject.</t>
  </si>
  <si>
    <t>Issever, H; Tiryaki, HD; Ezirmik, E; Nefise, S; Oztan, G; Yildirim, IG</t>
  </si>
  <si>
    <t>Issever, Halim; Tiryaki, Hulya Dogan; Ezirmik, Elif; Nefise, Seker; Oztan, Gozde; Yildirim, Iklim Gurcan</t>
  </si>
  <si>
    <t>Respiratory Function Tests; FeNO; Occupational health; bakery workers; textile workers; Metal workers</t>
  </si>
  <si>
    <t>CIGARETTE-SMOKING; PASSIVE SMOKE; ASTHMA; INCREASE; SPIROMETRY</t>
  </si>
  <si>
    <t>[Issever, Halim] Istanbul Univ, Fac Med, Dept Publ Hlth, Occupat Hlth, Istanbul, Turkey; [Tiryaki, Hulya Dogan] Adiyaman Prov Hlth Directorate, Adiyaman, Turkey; [Ezirmik, Elif] Sirnak Prov Hlth Directorate, Sirnak, Turkey; [Nefise, Seker] Diyarbakir Prov Hlth Directorate, Diyarbakir, Turkey; [Oztan, Gozde] Istanbul Univ, Fac Med, Dept Med Biol, Istanbul, Turkey; [Yildirim, Iklim Gurcan] Cerkezkoy Dist Hlth Directorate, Tekirdag, Turkey</t>
  </si>
  <si>
    <t>Issever, H (corresponding author), Istanbul Univ, Fac Med, Dept Publ Hlth, Occupat Hlth, Istanbul, Turkey.</t>
  </si>
  <si>
    <t>hissever@istanbul.edu.tr</t>
  </si>
  <si>
    <t>Scientific Research Projects Unit of Istanbul University [2624-40523/17.04.2015]</t>
  </si>
  <si>
    <t>Scientific Research Projects Unit of Istanbul University(Istanbul University)</t>
  </si>
  <si>
    <t>This work was supported by the Scientific Research Projects Unit of Istanbul University. (IU-BAP). Project number: 2624-40523/17.04.2015</t>
  </si>
  <si>
    <t>8B</t>
  </si>
  <si>
    <t>4H9PI</t>
  </si>
  <si>
    <t>WOS:000850209000070</t>
  </si>
  <si>
    <t>Polymer/carbon nanotube composite film formation: A fluorescence study</t>
  </si>
  <si>
    <t>In this study, the effect of multi-walled Carbon nanotube (MWNT) on film formation behavior of Polystrene (PS) latex film was investigated by using steady state fluorescence technique. Films were prepared by mixing of pyrene (P)-labeled PS latex with different amounts of MWNTs varying in the range between 0 and 20 wt%. After drying, MWNT containing films were separately annealed above glass transition temperature (T-g) of PS ranging from 100 to 270 degrees C for 10 min. In order to monitor film formation behavior of PS/MWNT composites, Scattered light (I-s) and fluorescence intensities (I-P) from P were measured after each annealing step to monitor the stages of film formation. At 0-20 wt% range of MWNT content films, minimum film formation (T-o), void closure (T-v), and healing, (T-h) temperatures were determined. Void closure and interdiffusion stages were modeled and related activation energies were determined. It was observed that while void closure activation energies increased, backbone activation energies decreased as the percent of MWNT is increased in the composite films. POLYM. COMPOS., 35:817-826, 2014. (c) 2013 Society of Plastics Engineers</t>
  </si>
  <si>
    <t>10.1002/pc.22725</t>
  </si>
  <si>
    <t>Yargi, O; Ugur, S; Pekcan, O</t>
  </si>
  <si>
    <t>Yargi, Onder; Ugur, Saziye; Pekcan, Onder</t>
  </si>
  <si>
    <t>CARBON NANOTUBES; TEMPERATURE-DEPENDENCE; PERCOLATION-THRESHOLD; PHOTON TRANSMISSION; LATEX-PARTICLES; FIBERS; NANOCOMPOSITES; INTERDIFFUSION; INTERFACES; VISCOSITY</t>
  </si>
  <si>
    <t>[Yargi, Onder] Yildiz Tekn Univ, Dept Phys, TR-34210 Istanbul, Turkey; [Ugur, Saziye] Istanbul Tech Univ, Dept Phys, TR-34469 Istanbul, Turkey; [Pekcan, Onder] Kadir Has Univ, Fac Arts &amp; Sci, TR-34320 Istanbul, Turkey</t>
  </si>
  <si>
    <t>Yildiz Technical University; Istanbul Technical University; Kadir Has University</t>
  </si>
  <si>
    <t>Yargi, O (corresponding author), Yildiz Tekn Univ, Dept Phys, TR-34210 Istanbul, Turkey.</t>
  </si>
  <si>
    <t>yargi78@gmail.com</t>
  </si>
  <si>
    <t>Yargi, Onder/AAB-7466-2021; PEKCAN, Onder/Y-3158-2018</t>
  </si>
  <si>
    <t>Yargi, Onder/0000-0001-6343-0057; PEKCAN, Onder/0000-0002-0082-8209</t>
  </si>
  <si>
    <t>AE4YZ</t>
  </si>
  <si>
    <t>WOS:000333996100001</t>
  </si>
  <si>
    <t>Artificial seagrass experiments in the Northeast Mediterranean</t>
  </si>
  <si>
    <t>Seagrasses provide important nursery grounds, shelter and natural habitats for juvenile fish. In this study, we evaluated if artificially created seagrass areas can play the same role as the natural seagrass (NS) habitats. The study was carried out in three different stations on the coast of Yumurtalik, Adana, selected according to the seagrass areas. Artificial seagrass (AS) was made of polypropylene ribbon and fixed on the ground in the designated areas with a depth of 0.5 m on average. Sampling was carried out with a beach seine net once a week at stations between 28 April 2016 and 11 August 2016. Sampled fish were identified to the lowest possible taxonomic level. Based on our results, the fish abundance and species richness of NS and AS habitats were not statistically different, whereas the both parameters were significantly lower in sandy (S) habitats (p&lt;0.001). Moreover, the species composition of NS and AS habitats was found to be similar each other, whereas the composition was significantly different in S habitats. This study, conducted in the Northeast Mediterranean, shows that AS habitats effect the distribution of juvenile fish.</t>
  </si>
  <si>
    <t>10.12714/egejfas.38.3.12</t>
  </si>
  <si>
    <t>Yilmaz, O; Mavruk, S; Gokce, G</t>
  </si>
  <si>
    <t>Yilmaz, Ozgur; Mavruk, Sinan; Gokce, Gokhan</t>
  </si>
  <si>
    <t>Meadows; juvenile fish; recruitment; nursery; Levant Basin</t>
  </si>
  <si>
    <t>FISH ASSEMBLAGES; ZOSTERA-CAPRICORNI; LEVANTINE COAST; PLASTIC DEBRIS; HABITATS; MICROPLASTICS; COMMUNITIES; SETTLEMENT; INGESTION; SAND</t>
  </si>
  <si>
    <t>[Yilmaz, Ozgur] Cukurova Univ, Yumurtalik Vocat Sch, TR-01680 Adana, Turkey; [Mavruk, Sinan; Gokce, Gokhan] Cukurova Univ, Fisheries Fac, TR-01330 Adana, Turkey</t>
  </si>
  <si>
    <t>Yilmaz, O (corresponding author), Cukurova Univ, Yumurtalik Vocat Sch, TR-01680 Adana, Turkey.</t>
  </si>
  <si>
    <t>oyilmaz@cu.edu.tr</t>
  </si>
  <si>
    <t>Yılmaz, Özgür/I-8733-2018; Mavruk, Sinan/E-5611-2018; Gokce, Gokhan/E-8278-2016</t>
  </si>
  <si>
    <t>Yılmaz, Özgür/0000-0002-0596-2896; Mavruk, Sinan/0000-0003-1958-0634; Gokce, Gokhan/0000-0003-1830-0733</t>
  </si>
  <si>
    <t>Scientific Research Project Unit of Cukurova University [FYL-2016-5507]</t>
  </si>
  <si>
    <t>This work is a part of MSc thesis named Effect on the juvenile fish distribution of artificial seagrass, It was supported by the Scientific Research Project Unit of Cukurova University (FYL-2016-5507).</t>
  </si>
  <si>
    <t>YK2PT</t>
  </si>
  <si>
    <t>WOS:000745062300012</t>
  </si>
  <si>
    <t>Cost Effective Smart System for Water Pollution Control with Underwater Wireless Sensor Networks: A Simulation Study</t>
  </si>
  <si>
    <t>The underwater sensor network is a rapidly developing area of research with a wide range of applications such as data collection in the ocean, pollution monitoring, and ocean sampling. One of the most researched areas is the coverage of underwater sensor networks, which are the basis of many applications. The coverage is usually related to how effectively a network is monitored by the sensor. There are major problems in the ocean or marine region, especially in water pollution. Underwater pollution generally causes acidification, plastic residues, and toxins. Today, the determination of this pollution is carried out through a human surveillance monitoring process. Therefore, there is a need for an automatic and intelligent monitoring system to identify the formation of pollution. The proposed simulation model defines the intelligent sensor-based monitoring system that identifies and alarms the formation of underwater pollution. Aloha was chosen as the medium access protocol for the cost-effective system in which we designed the simulation model. The efficiency of the system has been shown to be more stable, cost-effective and manageable than the monitoring process involving the existing human surveillance by testing with the simulation model.</t>
  </si>
  <si>
    <t>Bayrakdar, ME</t>
  </si>
  <si>
    <t>Bayrakdar, Muhammed Enes</t>
  </si>
  <si>
    <t>COMPUTER SYSTEMS SCIENCE AND ENGINEERING</t>
  </si>
  <si>
    <t>Medium Access; Pollution control; Sensor networks; Underwater</t>
  </si>
  <si>
    <t>[Bayrakdar, Muhammed Enes] Duzce Univ, Comp Engn Dept, Duzce, Turkey</t>
  </si>
  <si>
    <t>Duzce University</t>
  </si>
  <si>
    <t>Bayrakdar, ME (corresponding author), Duzce Univ, Comp Engn Dept, Duzce, Turkey.</t>
  </si>
  <si>
    <t>muhammedbayrakdar@gmail.com</t>
  </si>
  <si>
    <t>Bayrakdar, M. Enes/I-8075-2019</t>
  </si>
  <si>
    <t>Bayrakdar, M. Enes/0000-0001-9446-0988</t>
  </si>
  <si>
    <t>C R L PUBLISHING LTD</t>
  </si>
  <si>
    <t>LEICESTER</t>
  </si>
  <si>
    <t>5 WEIR RD, KIBWORTH BEAUCHAMP, LEICESTER LE8 0LQ, ENGLAND</t>
  </si>
  <si>
    <t>0267-6192</t>
  </si>
  <si>
    <t>COMPUT SYST SCI ENG</t>
  </si>
  <si>
    <t>Comput. Syst. Sci. Eng.</t>
  </si>
  <si>
    <t>Computer Science, Hardware &amp; Architecture; Computer Science, Theory &amp; Methods</t>
  </si>
  <si>
    <t>MC8GF</t>
  </si>
  <si>
    <t>WOS:000543517500005</t>
  </si>
  <si>
    <t>Successful endoscopic treatment of an unusual foreign body in the stomach: A package of heroin</t>
  </si>
  <si>
    <t>Drug addiction is an important medical and social problem.Body packing is frequently used for concealed transportation of illegal drugs. The drug is packed in small plastic packages and swallowed or placed into body cavities, such as the rectum or the vagina. Another aspect is body stuffing, in which the drug package is usually hastily swallowed in order to avoid arrest. Presently described is case of a body stuffer who ingested a package of heroin and was successfully treated with upper gastrointestinal endoscopy. Upper gastrointestinal endoscopy is a safe alternative therapeutic option in body stuffers in selected cases.</t>
  </si>
  <si>
    <t>10.5505/tjtes.2017.93462</t>
  </si>
  <si>
    <t>Asli, M; Dertli, R</t>
  </si>
  <si>
    <t>Asli, Mehmet; Dertli, Ramazan</t>
  </si>
  <si>
    <t>ULUSAL TRAVMA VE ACIL CERRAHI DERGISI-TURKISH JOURNAL OF TRAUMA &amp; EMERGENCY SURGERY</t>
  </si>
  <si>
    <t>Body stuffer; foreign body; heroin; upper gastrointestinal system endoscopy</t>
  </si>
  <si>
    <t>COCAINE PACKET; OBSTRUCTION; OVERDOSE; REMOVAL; PACKING; DRUGS</t>
  </si>
  <si>
    <t>[Asli, Mehmet; Dertli, Ramazan] Necmettin Erbakan Univ, Meram Fac Med, Dept Gastroenterol, Konya, Turkey</t>
  </si>
  <si>
    <t>Necmettin Erbakan University</t>
  </si>
  <si>
    <t>Asli, M (corresponding author), Necmettin Erbakan Univ, Tip Fak Hastanesi, Gastroenterol Klin, Konya, Turkey.</t>
  </si>
  <si>
    <t>drmehmetasil@yahoo.com.tr</t>
  </si>
  <si>
    <t>Dertli, Ramazan/AAG-8764-2020; ASIL, MEHMET/U-2251-2019</t>
  </si>
  <si>
    <t>ASIL, MEHMET/0000-0001-7332-686X; Dertli, Ramazan/0000-0002-6205-8983</t>
  </si>
  <si>
    <t>TURKISH ASSOC TRAUMA EMERGENCY SURGERY</t>
  </si>
  <si>
    <t>KOPRULU MEHMET PASA SOC, DENIZ ABDAL MAH, DADASOGLU AP, 25-1 SEHREMINI, ISTANBUL, 00000, TURKEY</t>
  </si>
  <si>
    <t>1306-696X</t>
  </si>
  <si>
    <t>ULUS TRAVMA ACIL CER</t>
  </si>
  <si>
    <t>Ulus. Travma Acil Cerrahi Derg.</t>
  </si>
  <si>
    <t>FD4UM</t>
  </si>
  <si>
    <t>WOS:000407527600015</t>
  </si>
  <si>
    <t>Severe acute thinner intoxication</t>
  </si>
  <si>
    <t>Thinner which contains aromatic hydrocarbons such as xylene, toluene and N-hexane is widely used in industrial plants manufacturing dyes, plastic, varnishes and glues. Chronic intoxication due to abuse of solvents, including thinner, by workers who inhale the solvent vapor is frequently encountered. Acute Intoxication with ingestion of excessive amounts is relatively rare and usually fatal. It is reported that 45-50 ml of orally Ingested thinner is enough to cause severe complications. The case reported here was forced to drink 200 ml of thinner by an older friend, and presented with severe complications such rhabdomyolysis, polyneuropathy, chemical pneumonia and coma. To the best of our knowledge this is the first case reported in the literature to survive acute thinner intoxication with such complications.</t>
  </si>
  <si>
    <t>Akisu, M; Mir, S; Genc, B; Cura, A</t>
  </si>
  <si>
    <t>TURKISH JOURNAL OF PEDIATRICS</t>
  </si>
  <si>
    <t>aromatic hydrocarbons; toxic polyneuropathy; toluene intoxication</t>
  </si>
  <si>
    <t>Akisu, M (corresponding author), EGE UNIV,FAC MED,IZMIR,TURKEY.</t>
  </si>
  <si>
    <t>Akisü, Mete/ABB-5612-2020</t>
  </si>
  <si>
    <t>Akisü, Mete/0000-0003-3697-8185</t>
  </si>
  <si>
    <t>TURKISH J PEDIATRICS</t>
  </si>
  <si>
    <t>SAMANPAZARI</t>
  </si>
  <si>
    <t>PK 66 ANKARA, 06240 SAMANPAZARI, TURKEY</t>
  </si>
  <si>
    <t>0041-4301</t>
  </si>
  <si>
    <t>TURKISH J PEDIATR</t>
  </si>
  <si>
    <t>Turk. J. Pediatr.</t>
  </si>
  <si>
    <t>APR-JUN</t>
  </si>
  <si>
    <t>Pediatrics</t>
  </si>
  <si>
    <t>UP296</t>
  </si>
  <si>
    <t>WOS:A1996UP29600014</t>
  </si>
  <si>
    <t>Pyrolysis dynamics of two medical plastic wastes: Drivers, behaviors, evolved gases, reaction mechanisms, and pathways</t>
  </si>
  <si>
    <t>The public has started to increasingly scrutinize the proper disposal and treatment of rapidly growing medical wastes, in particular, given the COVID-19 pandemic, raised awareness, and the advances in the health sector. This research aimed to characterize pyrolysis drivers, behaviors, products, reaction mechanisms, and pathways via TG-FTIR and Py-GC/MS analyses as a function of the two medical plastic wastes of syringes (SY) and medical bottles (MB), conversion degree, degradation stage, and the four heating rates (5,10, 20, and 40 degrees C/min). SY and MB pyrolysis ranged from 394.4 to 501 and from 417.9 to 517 degrees C, respectively. The average activation energy was 246.5 and 268.51 kJ/mol for the SY and MB devolatilization, respectively. MB appeared to exhibit a better pyrolysis performance with a higher degradation rate and less residues. The most suitable reaction mechanisms belonged to a geometrical contraction model (R-2) for the SY pyrolysis and to a nucleation growth model (A(1.2)) for the MB pyrolysis. The main evolved gases were C-4-C-24 alkenes and dienes for SY and C-6-C-41 alkanes and C-8 -C-41 alkenes for MB. The pyrolysis dynamics and reaction pathways of the medical plastic wastes have important implications for waste stream reduction, pollution control, and reactor optimization.</t>
  </si>
  <si>
    <t>10.1016/j.jhazmat.2020.123472</t>
  </si>
  <si>
    <t>Ding, ZY; Chen, HS; Liu, JY; Cai, HM; Evrendilek, F; Buyukada, M</t>
  </si>
  <si>
    <t>Ding, Ziyi; Chen, Huashan; Liu, Jingyong; Cai, Haiming; Evrendilek, Fatih; Buyukada, Musa</t>
  </si>
  <si>
    <t>Medical plastic wastes; Pyrolysis; Product distribution; TG-FTIR; Py-GC/MS</t>
  </si>
  <si>
    <t>TG-FTIR; CO-PYROLYSIS; THERMAL-DEGRADATION; PY-GC/MS; THERMOGRAVIMETRIC ANALYSIS; KINETICS; PRODUCTS; GENERATION; MICROSTRUCTURE; POLYPROPYLENE.</t>
  </si>
  <si>
    <t>[Ding, Ziyi; Liu, Jingyong; Cai, Haiming] Guangdong Univ Technol, Sch Environm Sci &amp; Engn, Guangdong Key Lab Environm Catalysis &amp; Hlth Risk, Guangzhou 510006, Peoples R China; [Chen, Huashan] Guoke Foshan Testing &amp; Certificat Co Ltd, Foshan 528000, Peoples R China; [Evrendilek, Fatih] Abant Izzet Baysal Univ, Dept Environm Engn, TR-14052 Bolu, Turkey; [Buyukada, Musa] Abant Izzet Baysal Univ, Dept Chem Engn, TR-14052 Bolu, Turkey</t>
  </si>
  <si>
    <t>Guangdong University of Technology; Abant Izzet Baysal University; Abant Izzet Baysal University</t>
  </si>
  <si>
    <t>Liu, JY (corresponding author), Guangdong Univ Technol, Sch Environm Sci &amp; Engn, Guangdong Key Lab Environm Catalysis &amp; Hlth Risk, Guangzhou 510006, Peoples R China.</t>
  </si>
  <si>
    <t>Evrendilek, Fatih/0000-0003-1099-4363; Evrendilek, Fatih/0000-0003-1099-4363; Buyukada, Musa/0000-0001-6841-6457</t>
  </si>
  <si>
    <t>National Natural Science Foundation of China [51978175]; Science and Technology Planning Project of Guangdong Province, China [2016A040403071, 2017A040403059]</t>
  </si>
  <si>
    <t>National Natural Science Foundation of China(National Natural Science Foundation of China (NSFC)); Science and Technology Planning Project of Guangdong Province, China</t>
  </si>
  <si>
    <t>This work was financially supported by the National Natural Science Foundation of China (No. 51978175), and the Science and Technology Planning Project of Guangdong Province, China (No. 2016A040403071; 2017A040403059).</t>
  </si>
  <si>
    <t>OX8WK</t>
  </si>
  <si>
    <t>WOS:000593837900010</t>
  </si>
  <si>
    <t>Studies on Drying and Swelling of PAAm-NIPA Composites in Various Compositions</t>
  </si>
  <si>
    <t>The steady-state fluorescence technique was introduced for studying the drying and swelling of disc-shaped PAAm-NIPA composites. Disc-shaped gels were formed with various acrylamides (AAm) and N-isopropylacrylamides (NIPA) by free radical crosslinking copolymerization in water. Composites were prepared with pyranine (Py) doped as a fluorescence probe. Scattered light, I-sc, and fluorescence intensities, I, were monitored during drying of these gels. The fluorescence intensity of pyranine increased and decreased as drying and swelling time increased respectively for all samples. The Stern-Volmer equation combined with moving boundary and Li-Tanaka models were used to explain the behavior of I during drying and swelling, respectively. It was found that the desorption coefficient, D, increased as NIPA contents were increased for a given temperature during drying. However, the cooperative diffusion coefficient, D-0, increased as NIPA contents were decreased during swelling at a given temperature. Supporting gravimetrical and volumetric experiments were also carried out during drying and swelling of PAAm-NIPA composites. It was observed that NIPA contents affect the drying and swelling process. POLYM. COMPOS., 32:928-936, 2011. (C) 2011 Society of Plastics Engineers</t>
  </si>
  <si>
    <t>10.1002/pc.21111</t>
  </si>
  <si>
    <t>Evingur, GA; Pekcan, O</t>
  </si>
  <si>
    <t>Evingur, Gulsen Akin; Pekcan, Onder</t>
  </si>
  <si>
    <t>N-ISOPROPYLACRYLAMIDE; PHASE-TRANSITIONS; ACRYLAMIDE GELS; HYDROGELS PAAM; KINETICS; FLUORESCENCE; POLY(N-ISOPROPYLACRYLAMIDE); SHRINKING; POLYMER; TEMPERATURES</t>
  </si>
  <si>
    <t>[Pekcan, Onder] Kadir Has Univ, Fac Arts &amp; Sci, TR-34083 Istanbul, Turkey; [Evingur, Gulsen Akin] Istanbul Tech Univ, Dept Phys, TR-34469 Istanbul, Turkey</t>
  </si>
  <si>
    <t>Kadir Has University; Istanbul Technical University</t>
  </si>
  <si>
    <t>Pekcan, O (corresponding author), Kadir Has Univ, Fac Arts &amp; Sci, TR-34083 Istanbul, Turkey.</t>
  </si>
  <si>
    <t>pekcan@khas.edu.tr</t>
  </si>
  <si>
    <t>762LE</t>
  </si>
  <si>
    <t>WOS:000290478600007</t>
  </si>
  <si>
    <t>How the Reduced Graphene Oxide Prepared at Different pH Values Affect the Optical Transmittance and the Electrical Properties of Polystrene Latex Films?</t>
  </si>
  <si>
    <t>Optical transmittance and electrical properties of polystyrene (PS)/reduced graphene oxide (rGO) composites were studied. Photon transmission technique was used to monitor the optical transmittance and two-/four-probe methods were used for the electrical conductivity measurements. Two separate experimental sets were prepared. In the first set, the composite films were prepared at equal amounts of PS and rGO where the pH of the solution in which GO was reduced to rGO was changed from about 3 to 10. The second set includes the composite films which were prepared at different weight ratios of rGO which prepared at pH = 10. All of the composite films were annealed under the Infrared lamp and the annealing time was changed from 10 to 30 min to be able to understand the effect of the annealing time. It was observed that increasing annealing time starts the film formation at lower temperatures. Only the void closure stage of the film formation process could be observed for all composite films and increasing amount of rGO decreased the required energy for the void closure stage. (C) 2018 Society of Plastics Engineers</t>
  </si>
  <si>
    <t>10.1002/pc.25045</t>
  </si>
  <si>
    <t>Yargi, O; Gelir, A; Sahinturk, U; Ozer, T; Caliskan, M; Aksakal, B</t>
  </si>
  <si>
    <t>Yargi, Onder; Gelir, Ali; Sahinturk, Utkan; Ozer, Tanju; Caliskan, Murat; Aksakal, Baki</t>
  </si>
  <si>
    <t>PHOTON TRANSMISSION METHOD; ENERGY-TRANSFER; VOID-CLOSURE; DIFFUSION; COALESCENCE; NANOSHEETS; REDUCTION</t>
  </si>
  <si>
    <t>[Yargi, Onder; Ozer, Tanju; Caliskan, Murat; Aksakal, Baki] Yildiz Tech Univ, Dept Phys, TR-34210 Istanbul, Turkey; [Gelir, Ali] Istanbul Tech Univ, Dept Phys, TR-34469 Istanbul, Turkey; [Sahinturk, Utkan] Istanbul Univ, Vocat Sch Tech Sci, Dept Mech &amp; Met Technol, TR-34320 Istanbul, Turkey</t>
  </si>
  <si>
    <t>Yildiz Technical University; Istanbul Technical University; Istanbul University</t>
  </si>
  <si>
    <t>Sahinturk, Utkan/AAL-4062-2020; Gelir, Ali/H-7558-2015; Aksakal, Baki/AAB-9041-2019; Yargi, Onder/AAB-7466-2021</t>
  </si>
  <si>
    <t>Sahinturk, Utkan/0000-0002-1943-3450; Gelir, Ali/0000-0001-6534-2253; Aksakal, Baki/0000-0003-1255-541X; Yargi, Onder/0000-0001-6343-0057</t>
  </si>
  <si>
    <t>Yildiz Tecnical University [2016-01-01-KAP03]</t>
  </si>
  <si>
    <t>Yildiz Tecnical University(Yildiz Technical University)</t>
  </si>
  <si>
    <t>Contract grant sponsor: Yildiz Tecnical University; contract grant number: 2016-01-01-KAP03.</t>
  </si>
  <si>
    <t>E1441</t>
  </si>
  <si>
    <t>E1450</t>
  </si>
  <si>
    <t>IS5DF</t>
  </si>
  <si>
    <t>WOS:000482171700050</t>
  </si>
  <si>
    <t>DEPOSIT APPLICATION AS A MEANS IN RECYCLING AND RESOURCE RECOVERY IN SOLID WASTE MANAGEMENT</t>
  </si>
  <si>
    <t>In Turkey, in accordance with the Act of Environment Number 2872 the first Regulations on Control of Solid Waste which was published in Official Journal dated and issue March 14th, 1991/20814. In the draft of the regulations on control of solid waste, deposit application was proposed by Prof. Dr. Adem Basturk, but this proposal was not accepted, instead quota application was accepted. Quota application projected a recycling ratio 40% for glass and plastics, and 38% for metals, paper, and cardboards for the year 2008. This application was terminated by a regulation issued in the Official Journal dated April 05, 2005/25777. Regulations on Control of Packaging and Packaging Wastes and other regulations regulate the recycling and resource recovery. Deposit application is an invention of beverage industry instead of the government. Old type, heavy and refillable bottles and cans or packaging material were collected by industrial companies voluntarily using deposit to increase the efficiency of their investment capitals in the first three quarter of 20th century. During the later years more cheap and light bottles, containers, and cans, and plastics packaging material were invented and beverage industries stop the volunteer deposit. The benefits of the applications with refund are given in the following. Cost of recycling and resource recovery are paid by producers rather than municipalities and consumers-It helps to complete the existing curbside recycling programs-It specifically reduces littering of beverage containers along highways, in lakes, rivers, and recreational and picnic areas-It reduces the cost of collecting the litter from the nature-It extends the lifetime of solid waste landfills-It protects children by effectively reducing the incidence of glass laceration in childhood. Deposit application in the U.S.A. began in 1971 in Oregon and the following years was applied in other states and also in the countries of the world; this system also continued with differences in the deposit fees and beverage types. The producers of glass and cans for water, fruit juice, beer, soda, and similar beverages, shopping malls, chain markets, their research institutes, foundations and their lobby have always been against the deposit system by spending large amounts of money. Upon implementing deposit system a 30-60% reduction in littering on highways was obtained in the states which have 30% of the population of the U.S.A. While the recycling ratio in the states implementing deposit system increased to 78%, those states not following the deposit system remained 23%. The 13th paragraph contains the proposal about the cancellation the quota system and putting the deposit system into effect in the part entitled Solution Proposal of the Special Expert Commission Report for Five Year Development Plan prepared and published by the State Planning Agency Of Turkey (DPT).</t>
  </si>
  <si>
    <t>Borat, M</t>
  </si>
  <si>
    <t>Borat, Mehmet</t>
  </si>
  <si>
    <t>SIGMA JOURNAL OF ENGINEERING AND NATURAL SCIENCES-SIGMA MUHENDISLIK VE FEN BILIMLERI DERGISI</t>
  </si>
  <si>
    <t>Recycling; resource recovery; deposit; refund</t>
  </si>
  <si>
    <t>[Borat, Mehmet] Fatih Univ, Muhendislik Fak, Cevre Muhendisligi Blolumu, Buyukcekmece Istanbul, Turkey</t>
  </si>
  <si>
    <t>Fatih University</t>
  </si>
  <si>
    <t>Borat, M (corresponding author), Fatih Univ, Muhendislik Fak, Cevre Muhendisligi Blolumu, Buyukcekmece Istanbul, Turkey.</t>
  </si>
  <si>
    <t>mborat@fatih.edu.tr</t>
  </si>
  <si>
    <t>YILDIZ TECHNICAL UNIV</t>
  </si>
  <si>
    <t>YILDIZ CAMPUS, BESIKTAS, ISTANBUL, 34349, TURKEY</t>
  </si>
  <si>
    <t>1304-7205</t>
  </si>
  <si>
    <t>1304-7191</t>
  </si>
  <si>
    <t>SIGMA J ENG NAT SCI</t>
  </si>
  <si>
    <t>Sigma J. Eng. Nat. Sci.</t>
  </si>
  <si>
    <t>V5D1X</t>
  </si>
  <si>
    <t>WOS:000219500400004</t>
  </si>
  <si>
    <t>APPLICABILITY OF STATISTICAL PROCESS CONTROL FOR SURFACE MODIFICATION PLANT AND PROPERTIES OF COATED CALCITE</t>
  </si>
  <si>
    <t>Due to its low surface energy, easy dispersion, high homogeneity and whiteness, coated (modified) calcite has increasingly been used in many industries, particularly in the plastics. The demand for this product will most likely increase in the years to come. Surface modification of calcite with a fatty acid would lead to a great expansion of industrial applications. The color values of coated calcite products are the first quality parameter. Therefore, it is very important to monitor the variations in the color characteristics of the coated calcite products. It is well known that statistical process control (SPC) techniques have been widely used in the many industries. In the present study, the surface of micronized calcite was coated with stearic acid by a pin mill. X-R control graphics and process capability index were applied for monitoring variations in quality control based on color parameters (L*, a* and b*) for the pin mill plant. In addition, active ratio, particle size distribution, whiteness parameters, BET, FTIR, TGA-DTA and SEM were then determined on a coated calcite sample. The results show that the pin mill plant seems under control and the coating technology is very effective in modifying the surface of micronized calcite products.</t>
  </si>
  <si>
    <t>10.5277/ppmp160223</t>
  </si>
  <si>
    <t>Ucurum, M; Malgir, E; Deligezen, H; Karaer, N; Avsar, M</t>
  </si>
  <si>
    <t>Ucurum, Metin; Malgir, Eda; Deligezen, Hamdi; Karaer, Necmettin; Avsar, Mustafa</t>
  </si>
  <si>
    <t>PHYSICOCHEMICAL PROBLEMS OF MINERAL PROCESSING</t>
  </si>
  <si>
    <t>calcite; surface modification; pin mill plant; statistical process control; coated calcite properties</t>
  </si>
  <si>
    <t>QUALITY-CONTROL; CARBONATE</t>
  </si>
  <si>
    <t>[Ucurum, Metin] Bayburt Univ, Mat Sci &amp; Nanotechnol Engn Dept, Bayburt, Turkey; [Malgir, Eda; Deligezen, Hamdi; Karaer, Necmettin; Avsar, Mustafa] Mikrokal Calcite Co, Bayburt, Turkey</t>
  </si>
  <si>
    <t>Bayburt University</t>
  </si>
  <si>
    <t>Ucurum, M (corresponding author), Bayburt Univ, Mat Sci &amp; Nanotechnol Engn Dept, Bayburt, Turkey.</t>
  </si>
  <si>
    <t>mucurum@bayburt.edu.tr</t>
  </si>
  <si>
    <t>TUBITAK-TEYDEB project department; Mikrokal limited company; Nigde/TURKEY</t>
  </si>
  <si>
    <t>TUBITAK-TEYDEB project department(Turkiye Bilimsel ve Teknolojik Arastirma Kurumu (TUBITAK)); Mikrokal limited company; Nigde/TURKEY(Nigde Omer Halisdemir University)</t>
  </si>
  <si>
    <t>This study has been supported by TUBITAK-TEYDEB project department. The authors would like to thank TUBITAK. They also wish to thank Mikrokal limited company, Nigde/TURKEY and to their colleagues who participated and provided support in the work.</t>
  </si>
  <si>
    <t>OFICYNA WYDAWNICZA POLITECHNIKI WROCLAWSKIEJ</t>
  </si>
  <si>
    <t>WYBRZEZE WYSPIANSKIEGO 27, 50-370 WROCLAW, POLAND</t>
  </si>
  <si>
    <t>1643-1049</t>
  </si>
  <si>
    <t>2084-4735</t>
  </si>
  <si>
    <t>PHYSICOCHEM PROBL MI</t>
  </si>
  <si>
    <t>Physicochem. Probl. Mineral Pro.</t>
  </si>
  <si>
    <t>Chemistry, Physical; Mining &amp; Mineral Processing</t>
  </si>
  <si>
    <t>Chemistry; Mining &amp; Mineral Processing</t>
  </si>
  <si>
    <t>DI3ME</t>
  </si>
  <si>
    <t>WOS:000373402000023</t>
  </si>
  <si>
    <t>EVALUATION OF CYTOTOXICITY AND OXIDATIVE STRESS PARAMETERS IN POECILIA RETICULATA CAUDAL FIBROBLAST CELL CULTURE EXPOSED TO DIMETHYL PHTHALATE (DMP)</t>
  </si>
  <si>
    <t>Dimethyl phthalate (DMP) is one of the widely used phthalates which could cause environmental pollution due to widespread use of plastics. DMP poses potential toxicity risk for environment and human health. However, risk analysis of DMP as an environmental contaminant and toxicological effects of DMP on aquatic habitats have not been adequately evaluated. In recent years, in vitro test using cell lines are widely used in toxicological evaluations and risk analysis of environmental pollutants. In this study, cytotoxicity, oxidative damage, antioxidant enzyme activities and relative gene expressions were investigated in Poecilia reticulata caudal fibroblast cells exposed to DMP. In our study it is found that lethal concentrations (LC50) of DMP for cells after 24 and 48 h of exposure were 0,33 and 0,34 mM. Cells were exposed to three different concentrations of DMP (0.1, 0.2 and 0.4 mM) for 24 and 48 h to investigate oxidative damage, antioxidant enzyme activity and gene expression. In all experimental groups MDA content was increased. The superoxide dismutase (SOD) activity was significantly higher in low and medium concentration when compared to control groups but decreased at high concentrations after exposure of DMP for 24 and 48h. The Catalase (CAT) activities increased in low and middle concentration groups but reduced in high concentration groups after 24 and 48 h DMP exposure but glutathione-S-transferase (GST) enzyme activities were increased all experimental groups. In addition gene expressions of these enzymes were found to be associated with enzyme activities in all experimental groups. All findings indicate that DMP could cause physiological effects and cellular damage in Poecilia reticulata caudal fibroblast cells by causing oxidative damage and disturbing the expression levels of antioxidant enzymes. The results might contribute to the identification of biomarkers to monitor phthalate pollution and in vitro methods could be used to evaluate the effects of DMP in aquatic habitats.</t>
  </si>
  <si>
    <t>Gokce, B; Ucuncu, SI</t>
  </si>
  <si>
    <t>Gokce, Burak; Ucuncu, Sema Isisag</t>
  </si>
  <si>
    <t>Dimethyl phthalate (DMP); Ecotoxicology; in vitro; Poecilia reticulata caudal fibroblast cell culture; oxidative stress; gene expression</t>
  </si>
  <si>
    <t>AQUATIC ORGANISMS; ESTERS; LIVER; FISH; FATE; BIOMARKERS; DISMUTASE; RESPONSES; DEFENSE</t>
  </si>
  <si>
    <t>[Gokce, Burak; Ucuncu, Sema Isisag] Ege Univ, Sci Fac, Biol Dept, Zool Sect, TR-35100 Bornova, Turkey</t>
  </si>
  <si>
    <t>Gokce, B (corresponding author), Ege Univ, Sci Fac, Biol Dept, Zool Sect, TR-35100 Bornova, Turkey.</t>
  </si>
  <si>
    <t>burak_gokce@yahoo.com</t>
  </si>
  <si>
    <t>6B</t>
  </si>
  <si>
    <t>TE9CH</t>
  </si>
  <si>
    <t>WOS:000670303700091</t>
  </si>
  <si>
    <t>Cytogenetic and genotoxic effects of 2-chlorophenol on Allium cepa L. root meristem cells</t>
  </si>
  <si>
    <t>2-Chlorophenol (2-CP), a class of chlorinated organic pollutants like other chlorophenols, is used as intermediate in the synthesis of the higher chlorinated congeners, certain dyes, preservatives, herbicides, fungicides, and plastics. In this study, cytotoxic and genotoxic effects of 2-CP were investigated on the root meristem cells of Allium cepa for its effects on root growth, mitotic index (MI), mitotic phases, chromosomal abnormalities (CAs), and DNA damage by using Allium anaphase-telophase and Comet assays. EC50 of 2-CP value was determined as approximately 25mg/L by Allium root growth inhibition test. Three concentrations of 2-CP (12.5, 25, and 50mg/L), distilled water (negative control), and methyl methane sulfonate (MMS, 10mg/L, positive control) were applied to onion stem cells under different exposure periods (24, 48, 72, and 96h). All the applied doses of 2-CP slightly decreased MIs. 2-CP induced total CAs such as disturbed anaphase-telophase, chromosome laggards, stickiness, and bridges and also DNA damage at significant levels. These results demonstrate that 2-CP has genotoxic effects in A. cepa root meristematic cells.</t>
  </si>
  <si>
    <t>10.1007/s11356-018-3502-0</t>
  </si>
  <si>
    <t>Kucuk, D; Liman, R</t>
  </si>
  <si>
    <t>Kucuk, Derya; Liman, Recep</t>
  </si>
  <si>
    <t>2-Chlorophenol; Allium cepa; Genotoxicity; Toxicity; Comet assay; Chromosome aberration</t>
  </si>
  <si>
    <t>CARASSIUS-AURATUS; OXIDE NANOPARTICLES; OXIDATIVE STRESS; VIBRIO-FISCHERI; DNA-DAMAGE; IN-VITRO; TOXICITY; CHLOROPHENOLS; EFFLUENTS; PHENOLS</t>
  </si>
  <si>
    <t>[Kucuk, Derya; Liman, Recep] Usak Univ, Fac Arts &amp; Sci, Mol Biol &amp; Genet Dept, 1 Eylul Campus, TR-64300 Usak, Turkey</t>
  </si>
  <si>
    <t>Liman, R (corresponding author), Usak Univ, Fac Arts &amp; Sci, Mol Biol &amp; Genet Dept, 1 Eylul Campus, TR-64300 Usak, Turkey.</t>
  </si>
  <si>
    <t>rliman@hotmail.com</t>
  </si>
  <si>
    <t>Liman, Recep/AAO-9652-2020; LIMAN, RECEP/J-3338-2012</t>
  </si>
  <si>
    <t>Liman, Recep/0000-0002-7944-4952; LIMAN, RECEP/0000-0002-7944-4952</t>
  </si>
  <si>
    <t>Usak University BAP [2017/TP027]</t>
  </si>
  <si>
    <t>Usak University BAP</t>
  </si>
  <si>
    <t>This work was financially supported by Usak University BAP (Project no. 2017/TP027).</t>
  </si>
  <si>
    <t>HD4HZ</t>
  </si>
  <si>
    <t>WOS:000452489500033</t>
  </si>
  <si>
    <t>Quality of silages from sunflower harvested at different vegetational stages</t>
  </si>
  <si>
    <t>This study was carried out to determine qualities and in vivo digestibility of silage of sunflower green herbage harvested at blooming, milk or dough stage and incubated in 120 l plastic barrels for 90 days. While dry matter, organic matter and crude fat content increased at dough stage, acid detergent fiber and neutral detergent fiber decreased (P &lt; 0.05). The highest lactic and propionic acid and the lowest butyric acid and pH values were observed in blooming stage silage. While dry grass yield and table ratio increased with maturity, stem and leaf ratio as well as digestibility of most of the nutrients decreased (P &lt; 0.05). It may be concluded that high quality alternative silages could be obtained from sunflower green herbage, best coming from bloom stage.</t>
  </si>
  <si>
    <t>10.1080/09712119.2006.9706610</t>
  </si>
  <si>
    <t>Demirel, M; Bolat, D; Celik, S; Bakici, Y; Celik, S</t>
  </si>
  <si>
    <t>Demirel, Murat; Bolat, Duran; Celik, Sibel; Bakici, Yunus; Celik, Savas</t>
  </si>
  <si>
    <t>JOURNAL OF APPLIED ANIMAL RESEARCH</t>
  </si>
  <si>
    <t>harvesting stage; sunflower silage; fermentation quality; in vivo digestibility</t>
  </si>
  <si>
    <t>Yuzuncu Yil Univ, Fac Agr, Dept Anim Sci, TR-65080 Van, Turkey</t>
  </si>
  <si>
    <t>Demirel, M (corresponding author), Yuzuncu Yil Univ, Fac Agr, Dept Anim Sci, TR-65080 Van, Turkey.</t>
  </si>
  <si>
    <t>mesdemirel@yyu.edu.tr</t>
  </si>
  <si>
    <t>0971-2119</t>
  </si>
  <si>
    <t>0974-1844</t>
  </si>
  <si>
    <t>J APPL ANIM RES</t>
  </si>
  <si>
    <t>J. Appl. Anim. Res.</t>
  </si>
  <si>
    <t>117KH</t>
  </si>
  <si>
    <t>WOS:000242871500015</t>
  </si>
  <si>
    <t>USING WASTE CONCRETE AS AGGREGATE</t>
  </si>
  <si>
    <t>When restrictions severely limit local access to concrete aggregate, broken pieces of waste concrete (WCA) are used as aggregate. Today environmental studies discussing the recycling and reuse of waste materials are gaining great importance. Using waste material which was obtained from razed buildings that was cleaned and later reduced to aggregate form, is considered an appropriate solution to environmental pollution. In this study, various mechanical properties of concretes were examined. These concretes were obtained with the addition of C 16 (28-day compressive strength of 16 MPa) pieces as aggregate in weight percentages of (referred to total aggregate) 0, 30, 50, 78 and 100%. From sigma-epsilon diagrams modulus of elasticity, toughness, plastic and elastic energy capacities were calculated. In the concretes, it was observed that as the amount of WCA increases, density, compressive strength, modulus of elasticity and value of toughness decrease.</t>
  </si>
  <si>
    <t>10.1016/0008-8846(95)00131-U</t>
  </si>
  <si>
    <t>Note</t>
  </si>
  <si>
    <t>TOPCU, IB; GUNCAN, NF</t>
  </si>
  <si>
    <t>CEMENT AND CONCRETE RESEARCH</t>
  </si>
  <si>
    <t>TOPCU, IB (corresponding author), OSMANGAZI UNIV,DEPT CIVIL ENGN,ESKISEHIR,TURKEY.</t>
  </si>
  <si>
    <t>Topçu, İlker Bekir/J-1814-2012</t>
  </si>
  <si>
    <t>Topçu, İlker Bekir/0000-0002-2075-6361</t>
  </si>
  <si>
    <t>THE BOULEVARD, LANGFORD LANE, KIDLINGTON, OXFORD, ENGLAND OX5 1GB</t>
  </si>
  <si>
    <t>0008-8846</t>
  </si>
  <si>
    <t>CEMENT CONCRETE RES</t>
  </si>
  <si>
    <t>Cem. Concr. Res.</t>
  </si>
  <si>
    <t>Construction &amp; Building Technology; Materials Science, Multidisciplinary</t>
  </si>
  <si>
    <t>RV430</t>
  </si>
  <si>
    <t>WOS:A1995RV43000002</t>
  </si>
  <si>
    <t>Distal Ileal Perforation Secondary to Ingested Foreign Bodies</t>
  </si>
  <si>
    <t>A 22-year-old man was admitted with abdominal pain, nausea and vomiting secondary to ingestion of multiple foreign bodies. He was found to be in increasing distress with an increase in abdominal pain and distention and no passage of foreign bodies. Patient underwent a laparotomy. Foreign bodies removed from perforated distal ileum included 8 big size (10 cm) plastic clothes pegs, a 10 cm pencil, couple of stones, a 10 cm wood nail, nail scissors and a small size battery. In case of foreign body ingestion, especially in mentally-ill patients, the patient should be carefully examined because of the potential risk of obstruction and bowel perforation, more so, if the foreign body is a battery which can puncture causing corrosive injury as well.</t>
  </si>
  <si>
    <t>Yagmur, Y; Ozturk, H; Ozturk, H</t>
  </si>
  <si>
    <t>Yagmur, Yusuf; Ozturk, Hayrettin; Ozturk, Hulya</t>
  </si>
  <si>
    <t>Foreign body ingestion; Distal ileum; Perforation; Adult male</t>
  </si>
  <si>
    <t>BODY PERFORATION; TRACT</t>
  </si>
  <si>
    <t>[Ozturk, Hayrettin] Abant Izzet Baysal Univ, Sch Med, Dept Pediat Surg, TR-14280 Bolu, Turkey; [Yagmur, Yusuf] Dicle Univ, Sch Med, Dept Gen Surg, Diyarbakir, Turkey; [Ozturk, Hulya] Duzce Univ, Sch Med, Dept Pediat Surg, Duzce, Turkey</t>
  </si>
  <si>
    <t>Abant Izzet Baysal University; Dicle University; Duzce University</t>
  </si>
  <si>
    <t>Ozturk, H (corresponding author), Abant Izzet Baysal Univ, Sch Med, Dept Pediat Surg, TR-14280 Bolu, Turkey.</t>
  </si>
  <si>
    <t>ozturkhayrettin@hotmail.com</t>
  </si>
  <si>
    <t>H, Ozturk/A-1992-2016; Yagmur, Yusuf/E-2092-2015; yagmur, Yusuf/AHA-1738-2022</t>
  </si>
  <si>
    <t>485OR</t>
  </si>
  <si>
    <t>WOS:000269133600015</t>
  </si>
  <si>
    <t>MAN-MADE GARBAGE POLLUTION ON THE MEDITERRANEAN COASTLINE</t>
  </si>
  <si>
    <t>Measurements of persistent litter on 13 beaches in Spain, Italy (Sicily), Turkey, Cyprus and Israel between 1988 and 1989 show that plastic items are the most abundant in the litter composition, followed by wood, metal and glass items. Remnants of fishing gear are rather rare. It appears that the quantity of litter on a beach is inversely related to its geographical distance to a population center and directly related to the number of visitors frequenting it. Seasonal fluctuations in coastal litter are caused by storm waves which wash the litter landward, leaving the beach clean during winter, and by bathers who pollute it during summer. Based on the nature of the garbage, there are indications that most Mediterranean coastal litter is land-based, in contrast to the reported marine-based litter on the western European shores.</t>
  </si>
  <si>
    <t>10.1016/0025-326X(91)90713-3</t>
  </si>
  <si>
    <t>GABRIELIDES, GP; GOLIK, A; LOIZIDES, L; MARINO, MG; BINGEL, F; TORREGROSSA, MV</t>
  </si>
  <si>
    <t>PLASTIC PELLETS; BEACHES</t>
  </si>
  <si>
    <t>NATL INST OCEANOG, ISRAEL OCEONOG &amp; LIMNOL RES, IL-37080 HAIFA, ISRAEL; MINIST AGR &amp; NAT RESOURCES, DEPT FISHERIES, NICOSIA, CYPRUS; MINIST HLTH &amp; CONSUMER PROTECT SERV, INST PUBL HLTH, E-28220 MADRID, SPAIN; PALERMO UNIV, INST HYG, SICILY, ITALY; MIDDLE E TECH UNIV, INST MARINE SCI, ICEL 33731, TURKEY</t>
  </si>
  <si>
    <t>Israel Oceanographic &amp; Limnological Research Institute; Middle East Technical University</t>
  </si>
  <si>
    <t>GABRIELIDES, GP (corresponding author), FAO, PROJECT OFF, COORDINATING UNIT MEDITERRANEAN ACT PLAN, POB 18019, ATHENS, GREECE.</t>
  </si>
  <si>
    <t>FJ012</t>
  </si>
  <si>
    <t>WOS:A1991FJ01200077</t>
  </si>
  <si>
    <t>The mechanical and durability behaviour of sustainable self-compacting concrete partially contained waste plastic as fine aggregate</t>
  </si>
  <si>
    <t>Annually, the disposal of low-density polyethylene (LDP) and waste ceramics have increased, which have a negative impact on environmental pollution. Thus, construction material sustainability can be achieved through the use of these wastes in manufacturing concrete. This experimental investigation aimed to assess the behaviour of self-compacting concrete (SCC) incorporating LDP. A total of six concrete mixes were designed with various volume percentages of 0, 6,12, 18, 24 and 30% of LDP as fine aggregate and used waste ceramic powder 30% (by weight) as partial substitution of cement for all mixtures. The experimental parameters are composed of fresh properties (fresh density, segregation analysis, H2/H1 ratio, slump flow diameter, V-funnel and T500 slump flow time) and hardened properties of dry density, ultrasonic pulse velocity, compressive and flexural strengths. However, the samples were exposed to elevated temperatures at 25 and 800 degrees C for 3 h to examine dry density and compressive strength. The results showed that the dry density and compressive strength with 30% LDP were decreased by 4.9 and 37.17%, respectively, after being exposed to 800 degrees C. From the compressive strength results, it was determined that all the mixes before and after exposure to elevated temperatures were suitable for structural purposes.</t>
  </si>
  <si>
    <t>10.1080/14488353.2022.2083408</t>
  </si>
  <si>
    <t>Hilal, N; Tawfik, TA; Edan, HH; Sor, NH</t>
  </si>
  <si>
    <t>Hilal, Nahla; Tawfik, Taher A.; Edan, Hadi Hemdan; Sor, Nadhim Hamah</t>
  </si>
  <si>
    <t>AUSTRALIAN JOURNAL OF CIVIL ENGINEERING</t>
  </si>
  <si>
    <t>Recycling waste plastics; recycling waste ceramic; fresh properties; hardened properties; elevated temperature; self compacting concrete</t>
  </si>
  <si>
    <t>COMPOSITE MORTARS; PET; STRENGTH; FIBER</t>
  </si>
  <si>
    <t>[Hilal, Nahla] Univ Fallujah, Scholarships &amp; Cultural Relat Dept, Fallujah, Iraq; [Tawfik, Taher A.] High Inst Engn, Dept Construct &amp; Bldg Engn, October 6 City, Egypt; [Edan, Hadi Hemdan] Univ Fallujah, Construct &amp; Projects Dept, Fallujah, Iraq; [Sor, Nadhim Hamah] Univ Garmian, Civil Engn Dept, Kalar, Iraq; [Sor, Nadhim Hamah] Harran Univ, Dept Civil Engn, Sanliurfa, Turkey</t>
  </si>
  <si>
    <t>Harran University</t>
  </si>
  <si>
    <t>Hilal, N (corresponding author), Univ Fallujah, Scholarships &amp; Cultural Relat Dept, Fallujah, Iraq.</t>
  </si>
  <si>
    <t>nahla.naji@uofallujah.edu.iq</t>
  </si>
  <si>
    <t>HAMAH SOR, Nadhim/AAO-1597-2020; tawfik, taher/AAR-4754-2020; HILAL, NAHLA/D-7286-2019</t>
  </si>
  <si>
    <t>HAMAH SOR, Nadhim/0000-0001-7349-5540; tawfik, taher/0000-0002-0924-3127; HILAL, NAHLA/0000-0001-9403-9982</t>
  </si>
  <si>
    <t>1448-8353</t>
  </si>
  <si>
    <t>2204-2245</t>
  </si>
  <si>
    <t>AUST J CIV ENG</t>
  </si>
  <si>
    <t>Aust. J. Civ. Eng.</t>
  </si>
  <si>
    <t>2022 JUN 3</t>
  </si>
  <si>
    <t>Engineering, Civil</t>
  </si>
  <si>
    <t>1U2QY</t>
  </si>
  <si>
    <t>WOS:000805263700001</t>
  </si>
  <si>
    <t>Study of Film Formation From PS Latex/TiO2 Nanocomposites; Effect of Latex Size and TiO2 Content</t>
  </si>
  <si>
    <t>In this work, we investigated the film formation from polystyrene (PS) latex/TiO2 nanocomposites using the steady state fluorescence (SSF) and UV-vis (UVV) techniques depending on PS particle size and TiO2 content. The structural properties of films were characterized by scanning electron microscope (SEM). The films were prepared from pyrene (P)-labeled PS particles (SmPS: 203 nm; LgPS: 382 nm) by covering them with different layers of TiO2 by dip-coating method and then annealed at elevated temperatures. Two film series (SmPS/TiO2 and LgPS/TiO2) were prepared and seven different films were studied in various TiO2 contents for each series. Scattered (I-sc), fluorescence (I-P), and transmitted (I-tr) light intensities were measured after each annealing step to monitor the stages of film formation. Results showed that, SmPS/TiO2 films undergo complete film formation independent of TiO2 content. However, no film formation occurs above a certain TiO2 content in LgPS/TiO2 films. SEM images showed that SmPS/TiO2 films have highly well-ordered microporous structures with increasing TiO2 content after extraction of PS polymer whereas LgPS/TiO2 composites show no porous structure for high TiO2 content. Our experiments also showed that porous TiO2 films with different sizes could be successfully prepared using this technique. (C) 2014 Society of Plastics Engineers</t>
  </si>
  <si>
    <t>10.1002/pc.22905</t>
  </si>
  <si>
    <t>Ugur, S; Sunay, MS; Pekcan, O</t>
  </si>
  <si>
    <t>Ugur, Saziye; Sunay, M. Selin; Pekcan, Onder</t>
  </si>
  <si>
    <t>PHOTONIC CRYSTALS; POLYSTYRENE PARTICLES; STRESS DEVELOPMENT; ACRYLIC LATICES; SURFACTANT-FREE; VOID CLOSURE; FLUORESCENCE; INTERDIFFUSION; DIFFUSION; SILICON</t>
  </si>
  <si>
    <t>[Ugur, Saziye] Istanbul Tech Univ, Dept Phys, TR-34469 Istanbul, Turkey; [Sunay, M. Selin] Piri Reis Univ, Fac Sci &amp; Letters, TR-34940 Istanbul, Turkey; [Pekcan, Onder] Kadir Has Univ, TR-34320 Istanbul, Turkey</t>
  </si>
  <si>
    <t>Istanbul Technical University; Piri Reis University; Kadir Has University</t>
  </si>
  <si>
    <t>Ugur, S (corresponding author), Istanbul Tech Univ, Dept Phys, TR-34469 Istanbul, Turkey.</t>
  </si>
  <si>
    <t>saziye@itu.edu.tr</t>
  </si>
  <si>
    <t>Turkish Academy of Sciences (TUBA)</t>
  </si>
  <si>
    <t>Turkish Academy of Sciences (TUBA)(Turkish Academy of Sciences)</t>
  </si>
  <si>
    <t>Onder Pekcan thanks the Turkish Academy of Sciences (TUBA) for their partial support. Dr. Sunay thank the Laboratories in Physics Department of ITU, where she has done the experimental work during her PhD studies and to prepare this article.</t>
  </si>
  <si>
    <t>AS6SH</t>
  </si>
  <si>
    <t>WOS:000344392100009</t>
  </si>
  <si>
    <t>A small wind turbine system (SWTS) application and its performance analysis</t>
  </si>
  <si>
    <t>Energy conservation, pollution prevention, resource efficiency, systems integration and life cycle costing are very important terms for sustainable construction. The purpose of this work is to ensure a power supply for the north of the Solar Energy Institute building environment lamps by using wind power to comply with the green building approach. Beside this, the study is to present an energy analysis of the 1.5 kW small wind turbine system (SWTS) with a hub height of 12 m above ground level with a 3 in rotor diameter in Turkey. The SWTS was installed at the Solar Energy Institute of Ege University (latitude 38.24 N, longitude 27.50 E), Izmir, Turkey. NACA 63-622 profile type (National Advisory Committee for Aeronautics) blades of epoxy carbon fiber reinforced plastics were used. The system was commissioned in September 2002, and performance tests have been conducted since then. The performance analysis of the SWTS is quantified and illustrated in the tables, particularly for a reference temperature of 25 degrees C, 30th of October 2003 till 5th of November 2003 for comparison purposes. Test results show that when the average wind speed is 7.5 m/s, 616 W and 76 Hz electricity is produced by the alternator. (c) 2005 Elsevier Ltd. All rights reserved.</t>
  </si>
  <si>
    <t>10.1016/j.enconman.2005.08.014</t>
  </si>
  <si>
    <t>Ozgener, O</t>
  </si>
  <si>
    <t>energy; environment; exergy; renewable energy; sustainable development; wind; wind energy</t>
  </si>
  <si>
    <t>LOCAL DESIGN; BLADES; ENERGY</t>
  </si>
  <si>
    <t>Ege Univ, Solar Energy Inst, TR-35100 Bornova, Izmir, Turkey</t>
  </si>
  <si>
    <t>Ozgener, O (corresponding author), Ege Univ, Solar Energy Inst, TR-35100 Bornova, Izmir, Turkey.</t>
  </si>
  <si>
    <t>onder.ozgener@ege.edu.tr</t>
  </si>
  <si>
    <t>Ozgener, Onder/GXI-2820-2022</t>
  </si>
  <si>
    <t>11-12</t>
  </si>
  <si>
    <t>028XN</t>
  </si>
  <si>
    <t>WOS:000236522200002</t>
  </si>
  <si>
    <t>Advanced Oxidation Processes for Removal of Dyes from Aqueous Media</t>
  </si>
  <si>
    <t>Dyes are synthetically aromatic compounds used in various industries such as textile, plastics, pharmaceutical, paper, paint and food. The quality and quantity of wastewaters from these industries are a matter of concern for human health and environmental pollution. Different conventional methods have been developed for dye removal. However, due to the complex structure and recalcitrant nature of dyes, these methods appear to be ineffective in their complete removal. Advanced Oxidation Processes (AOPs) have been considered as a promising alternative to treat wastewater containing dye residues. These processes are based on the production of highly reactive radicals, especially hydroxyl radicals, which promote destruction of the target pollutant until mineralization. This chapter addresses AOPs for removal of dyes from aqueous media by presenting background on advanced oxidation processes. The AOPs will be investigated in two categories: Nonphotochemical and Photochemical Processes. Among these processes, the main focus will be on ozonation, Fenton's reagent oxidation, wet air oxidation and photocatalytic oxidation, with only brief information given on electrochemical oxidation, ultraviolet irradiation and hydrogen peroxide (UV/H2O2) and photocatalytic ozonation (UV/O-3) processes.</t>
  </si>
  <si>
    <t>Atalay, S; Ersoz, G</t>
  </si>
  <si>
    <t>Atalay, Suheyda; Ersoz, Gulin</t>
  </si>
  <si>
    <t>GREEN CHEMISTRY FOR DYES REMOVAL FROM WASTEWATER: RESEARCH TRENDS AND APPLICATIONS</t>
  </si>
  <si>
    <t>Removal of dyes; advanced oxidation processes; non-photochemical advanced oxidation processes; photochemical advanced oxidation processes; ozonation; Fenton's reagent oxidation; wet air oxidation; electrochemical oxidation; photocatalytic oxidation</t>
  </si>
  <si>
    <t>WET-AIR OXIDATION; REACTIVE BLACK 5; WASTE-WATER TREATMENT; HYDROGEN-PEROXIDE OXIDATION; FENTON-LIKE OXIDATION; CI ACID YELLOW-23; AZO-DYE; PHOTOCATALYTIC DEGRADATION; ELECTROCHEMICAL OXIDATION; CATALYTIC OZONATION</t>
  </si>
  <si>
    <t>[Atalay, Suheyda; Ersoz, Gulin] Ege Univ, Fac Engn, Dept Chem Engn, Izmir, Turkey</t>
  </si>
  <si>
    <t>Atalay, S (corresponding author), Ege Univ, Fac Engn, Dept Chem Engn, Izmir, Turkey.</t>
  </si>
  <si>
    <t>suheyda.atalay@ege.edu.tr</t>
  </si>
  <si>
    <t>atalay, süheyda/AAF-2302-2019; atalay, süheyda/AAJ-8859-2020</t>
  </si>
  <si>
    <t xml:space="preserve">atalay, süheyda/0000-0002-1703-1044; </t>
  </si>
  <si>
    <t>SCRIVENER PUBLISHING LLC</t>
  </si>
  <si>
    <t>BEVERLY</t>
  </si>
  <si>
    <t>100 CUMMINGS CENTER, STE 541J, BEVERLY, MA 01915-6106 USA</t>
  </si>
  <si>
    <t>978-1-118-72100-1; 978-1-118-72099-8</t>
  </si>
  <si>
    <t>10.1002/9781118721001</t>
  </si>
  <si>
    <t>Chemistry, Multidisciplinary; Green &amp; Sustainable Science &amp; Technology; Engineering, Environmental</t>
  </si>
  <si>
    <t>Chemistry; Science &amp; Technology - Other Topics; Engineering</t>
  </si>
  <si>
    <t>BL3RW</t>
  </si>
  <si>
    <t>WOS:000449998200004</t>
  </si>
  <si>
    <t>Air quality level, emission sources and control strategies in Bursa/Turkey</t>
  </si>
  <si>
    <t>In parallel with rapidly increasing population and number of motor vehicles, irregular urbanization, and unplanned industrialization, air pollution has reached dangerous levels in developing cities. Various industries such as textile, automotive, chemical, rubber and plastic industries are located in Bursa. In addition, the region receives a lot of migration and there is an intensive air pollution problem due to dense urbanization. The air quality monitoring station results showed that the PM10 and NOx are the main pollutants reducing air quality in the city. Despite the much efforts and regulations, air quality level has been getting worst year by year. Stakeholders were brought together to explore the true causes of non-blocking emissions, identify resource loads and priorities, and develop solutions. The current level and variation of air pollutant concentrations depending on years were presented to stakeholders. A survey and discussion were performed within the workshop, and consequently; industry, transportation, heating and uncontrolled combustion activities came front. Especially the fact that the industry is located in the city and the transportation network of the city is inadequate has emerged as the main source of air pollution problem. In order to develop effective solution, it was emphasized that effective supervision should come to the forefront and new industrial facilities should not be established in the regions in or near the city.</t>
  </si>
  <si>
    <t>10.1016/j.apr.2020.05.016</t>
  </si>
  <si>
    <t>Caliskan, B; Ozengin, N; Cindoruk, SS</t>
  </si>
  <si>
    <t>Caliskan, Burak; Ozengin, Nihan; Cindoruk, S. Siddik</t>
  </si>
  <si>
    <t>ATMOSPHERIC POLLUTION RESEARCH</t>
  </si>
  <si>
    <t>Criteria air pollutants; Industrial emissions; Mobile sources; Air pollution prevention; Improve air quality</t>
  </si>
  <si>
    <t>NO2</t>
  </si>
  <si>
    <t>[Caliskan, Burak; Ozengin, Nihan; Cindoruk, S. Siddik] Bursa Uludag Univ, Dept Environm Engn, Fac Engn, Bursa, Turkey</t>
  </si>
  <si>
    <t>Cindoruk, SS (corresponding author), Bursa Uludag Univ, Dept Environm Engn, Fac Engn, Bursa, Turkey.</t>
  </si>
  <si>
    <t>cindoruk@uludag.edu.tr</t>
  </si>
  <si>
    <t>Ãzengin, Nihan/AAH-1475-2021; Çalışkan, Burak/AAT-6526-2020</t>
  </si>
  <si>
    <t>Cindoruk, S.Siddik/0000-0001-7536-0332; Caliskan, Burak/0000-0002-8729-9441</t>
  </si>
  <si>
    <t>Bursa Metropolitan Municipality</t>
  </si>
  <si>
    <t>This study was supported by Bursa Metropolitan Municipality.</t>
  </si>
  <si>
    <t>TURKISH NATL COMMITTEE AIR POLLUTION RES &amp; CONTROL-TUNCAP</t>
  </si>
  <si>
    <t>BUCA</t>
  </si>
  <si>
    <t>DOKUZ EYLUL UNIV, DEPT ENVIRONMENTAL ENGINEERING, TINAZTEPE CAMPUS, BUCA, IZMIR 35160, TURKEY</t>
  </si>
  <si>
    <t>1309-1042</t>
  </si>
  <si>
    <t>ATMOS POLLUT RES</t>
  </si>
  <si>
    <t>Atmos. Pollut. Res.</t>
  </si>
  <si>
    <t>PK5TF</t>
  </si>
  <si>
    <t>WOS:000602506400013</t>
  </si>
  <si>
    <t>Visitor-Sourced Pollution and Esthetic Quality in the Coastal National Parks: Sample of Dilek Peninsula Buyuk Menderes Delta National Park/Turkey</t>
  </si>
  <si>
    <t>Icmeler Bay' recreational coast, Dilek Peninsula Buyuk Menderes Delta National Park, was surveyed to determine visitor-sourced litter types and cleanliness levels. Litter types and pollution were compared in terms of recreational uses and esthetic quality. Visitors rated the offensiveness of 17 several litter items that were found in the Bay. Finally, visitors evaluated the cleanliness and crowdedness of the Bay and the adequacy of trash cans. Litters were counted at 192 samplings, and 384 questionnaires were completed from July to August 2018. The results indicate that OR (Organic litter) (53.14%) and PL (plastic) (29.06%) were the common litter material in the litter composition. The cleanliness level was C (Dirty) (grades on A-D). A weakly significant negative correlation (r = -0.463, p = 0.000) was found between the offensiveness ranks of the litter types and the abundance of these litter types in the park. The park was dirty (69%), crowded (72.7%), and the numbers of facilities were insufficient (59.4%) according to most visitors. For minimizing the environmental and social impacts of littering, it is considered that the visitor management plan should be prepared urgently and littering management actions should be defined in this plan. Eight categories of direct and indirect management actions are recommended.</t>
  </si>
  <si>
    <t>10.1080/08920753.2021.1875391</t>
  </si>
  <si>
    <t>Goktug, TH</t>
  </si>
  <si>
    <t>Goktug, Tendu Hilal</t>
  </si>
  <si>
    <t>COASTAL MANAGEMENT</t>
  </si>
  <si>
    <t>Coastal national park; esthetic pollution; litter; visitor management; visitor-sourced pollution</t>
  </si>
  <si>
    <t>[Goktug, Tendu Hilal] Adnan Menderes Univ, Fac Agr, Landscape Planning Landscape Architecture Dept, Aydin, Turkey</t>
  </si>
  <si>
    <t>Adnan Menderes University</t>
  </si>
  <si>
    <t>Goktug, TH (corresponding author), Adnan Menderes Univ, Fac Agr, South Campus,74, TR-09070 Aydin, Turkey.</t>
  </si>
  <si>
    <t>tgoktug@adu.edu.tr</t>
  </si>
  <si>
    <t>GOKTUG, TENDU HILAL/0000-0001-7544-9943</t>
  </si>
  <si>
    <t>0892-0753</t>
  </si>
  <si>
    <t>1521-0421</t>
  </si>
  <si>
    <t>COAST MANAGE</t>
  </si>
  <si>
    <t>Coast. Manage.</t>
  </si>
  <si>
    <t>MAR 4</t>
  </si>
  <si>
    <t>Environmental Sciences; Environmental Studies</t>
  </si>
  <si>
    <t>QI5ZN</t>
  </si>
  <si>
    <t>WOS:000615858500001</t>
  </si>
  <si>
    <t>Tailored electrospun fibers from waste polystyrene for high oil adsorption</t>
  </si>
  <si>
    <t>Recent ship accidents that resulted catastrophic oil spills necessitate producing environmentally friendly, costeffective, and large-scale fabrication technology for oil-sorbent materials. Various material systems have been employed to fabricate sorbent materials; however, using fresh material components as adsorbent can lead to a secondary pollution. Therefore, recycling of plastics wastes for the fabrication of adsorbent material could be a wise approach to handle this environmental issue. In this study, foam-expanded polystyrene (f-PS), a commodity polymer used for insulation and packing materials, was electrospun from solution mixture of THF and DMF. Surface and interior porosity were achieved from individual fibers electrospun froma composition of DMF: THF (1:3) at 20-wt% of solid f-PS content. The resulting adsorbents exhibited a considerable hydrophobicity (WCA approximate to 120 degrees) and oleophilicity (CA approximate to 10 degrees), which can selectively adsorb both vegetable and engine oils from polluted waters. The porosity of the fibers has significant effect on the sorption capacity and separation efficiency up to 124 g/g and 99%, respectively. Thus, electrospun mats of the polystyrene wastes offer a promising adsorbent for the remediation of oily wastewaters. (C) 2018 Published by Elsevier B.V.</t>
  </si>
  <si>
    <t>10.1016/j.susmat.2018.e00084</t>
  </si>
  <si>
    <t>Isik, T; Demir, MM</t>
  </si>
  <si>
    <t>Isik, Tugba; Demir, Mustafa M.</t>
  </si>
  <si>
    <t>SUSTAINABLE MATERIALS AND TECHNOLOGIES</t>
  </si>
  <si>
    <t>Expanded polystyrene; Oily wastewater; Remediation; Recycling; Waste-electrospinning; Waste-PS</t>
  </si>
  <si>
    <t>IN-WATER EMULSION; SURFACE-MORPHOLOGY; OIL/WATER SEPARATION; PHASE-SEPARATION; URANYL IONS; POLYMER; MEMBRANE; REMOVAL; NANOFIBERS; AIR</t>
  </si>
  <si>
    <t>[Isik, Tugba; Demir, Mustafa M.] Izmir Inst Technol, Dept Mat Sci &amp; Engn, TR-35930 Izmir, Turkey</t>
  </si>
  <si>
    <t>Izmir Institute of Technology</t>
  </si>
  <si>
    <t>Demir, MM (corresponding author), Izmir Inst Technol, Dept Mat Sci &amp; Engn, TR-35930 Izmir, Turkey.</t>
  </si>
  <si>
    <t>mdemir@iyte.edu.tr</t>
  </si>
  <si>
    <t>Demir, Mustafa M/A-4391-2019; ISIK, TUĞBA/A-4012-2017</t>
  </si>
  <si>
    <t>Demir, Mustafa M/0000-0003-1309-3990; ISIK, TUĞBA/0000-0001-7328-9819</t>
  </si>
  <si>
    <t>2214-9937</t>
  </si>
  <si>
    <t>SUSTAIN MATER TECHNO</t>
  </si>
  <si>
    <t>Sustain. Mater. Technol.</t>
  </si>
  <si>
    <t>e00084</t>
  </si>
  <si>
    <t>Green &amp; Sustainable Science &amp; Technology; Energy &amp; Fuels; Materials Science, Multidisciplinary</t>
  </si>
  <si>
    <t>Science &amp; Technology - Other Topics; Energy &amp; Fuels; Materials Science</t>
  </si>
  <si>
    <t>HF2QJ</t>
  </si>
  <si>
    <t>WOS:000454081200007</t>
  </si>
  <si>
    <t>Toxicity and molecular effects of di-n-butyl phthalate (DBP) on CYP1A, SOD, and GPx in Cyprinus carpio (common carp)</t>
  </si>
  <si>
    <t>Di-n-butyl phthalate (DBP), a widely used plasticizer in the plastic industry, affects regulation of the endocrine system and causes toxicity in animals. In the present study, we evaluated a series of ecotoxicological stress biomarkers in the common carp (Cyprinus carpio) as an experimental model to test for alterations in gene expression at a sublethal concentration of 1 mg/L DBP for 4, 24, and 96 h. In gills, an immediate increase in CYP1A messenger RNA (mRNA) levels was observed within the first 4 h and persisted for 96 h. Protein levels were nearly consistent with mRNA levels. However, a time-dependent inhibition was observed in CYP1A levels in the liver within 96 h. Superoxide dismutase (SOD) and glutathione peroxidase (GPx) levels increased gradually in liver with exposure time to a maximum level of 11-fold. Varied responses of different tissues were likely due to xenobiotic metabolism of DBP. In conclusion, evaluating the tissue-specific alterations of CYP1A, SOD, and GPx levels can be used as specific and effective biomarkers for ecotoxicological monitoring of DBP pollution. We strongly recommend using molecular tools to ecotoxicologists for aquatic monitoring of newly emerging pollutants.</t>
  </si>
  <si>
    <t>10.1007/s10661-015-4622-3</t>
  </si>
  <si>
    <t>Agus, HH; Sumer, S; Erkoc, F</t>
  </si>
  <si>
    <t>Agus, Hizlan H.; Sumer, Sibel; Erkoc, Figen</t>
  </si>
  <si>
    <t>Dibutyl phthalate; CYP1A; SOD; GPx; qRT-PCR; Cyprinus carpio</t>
  </si>
  <si>
    <t>ESTROGEN-RECEPTOR-ALPHA; GENE-EXPRESSION PATTERNS; OXIDATIVE STRESS; ARYL-HYDROCARBON; DI(N-BUTYL) PHTHALATE; DIETHYL PHTHALATE; INDUCTION; EXPOSURE; LIVER; RESPONSES</t>
  </si>
  <si>
    <t>[Agus, Hizlan H.; Sumer, Sibel] Hacettepe Univ, Dept Biol, Fac Sci, TR-06800 Ankara, Turkey; [Erkoc, Figen] Gazi Univ, Dept Biol Educ, Ankara, Turkey</t>
  </si>
  <si>
    <t>Hacettepe University; Gazi University</t>
  </si>
  <si>
    <t>Agus, HH (corresponding author), Hacettepe Univ, Dept Biol, Fac Sci, TR-06800 Ankara, Turkey.</t>
  </si>
  <si>
    <t>agus_hizlan@yahoo.com.tr</t>
  </si>
  <si>
    <t>Erkoç, Figen/ABH-2810-2021; Ağuş, Hızlan Hıncal/C-1799-2017</t>
  </si>
  <si>
    <t>Ağuş, Hızlan Hıncal/0000-0002-0252-9501; Erkoc, Figen Unlu/0000-0003-0658-2243</t>
  </si>
  <si>
    <t>Gazi University [04/2012-11]; Turkish Scientific and Technological Research Council (TUBITAK) of Turkey [212T185]</t>
  </si>
  <si>
    <t>Gazi University(Gazi University); Turkish Scientific and Technological Research Council (TUBITAK) of Turkey(Turkiye Bilimsel ve Teknolojik Arastirma Kurumu (TUBITAK))</t>
  </si>
  <si>
    <t>The present study was partially supported by the Gazi University, Research Fund, through project contract no: 04/2012-11 and The Turkish Scientific and Technological Research Council (TUBITAK) of Turkey, grant no: 212T185.</t>
  </si>
  <si>
    <t>CM0AL</t>
  </si>
  <si>
    <t>WOS:000357340500031</t>
  </si>
  <si>
    <t>Additives for ultraviolet-induced oxidative degradation of low-density polyethylene</t>
  </si>
  <si>
    <t>Polyethylene (PE) is one of the most widely produced and widely used plastics in the world. Saturated hydrocarbons cannot absorb the energy of the light reaching earth, so the degradation process is rather slow; this, in return, causes disposal problems. On the other hand, it was observed that in the presence of oxygen and impurities in the polymer matrix, the degradation could be reduced to shorter time intervals. In this study, vanadium(III) acetyl acetonate (VAc), serpentine (SE), and Cloisite 30B (CL) were used as additives, both together and alone, and we followed the photodegradation of PE. The amount of VAc was kept constant at 0.2 wt %, whereas the amounts of SE and CL were varied between 1 and 4 wt %. The samples were irradiated by UV light for up to 500h. Mechanical and spectroscopic measurements were carried out during certain time intervals to monitor the degradation. VAc containing PE showed the fastest degradation. The elongation at break values of these samples were reduced to half of the initial value of elongation at break within five days. Combinations of the CL and SE additives were also proven to accelerate the degradation of PE; this was followed by an increase in the carbonyl index, which was observed to be at least 10 times greater than that of pure PE. (c) 2016 Wiley Periodicals, Inc. J. Appl. Polym. Sci. 2016, 133, 43354.</t>
  </si>
  <si>
    <t>10.1002/app.43354</t>
  </si>
  <si>
    <t>Oluz, Z; Tincer, T</t>
  </si>
  <si>
    <t>Oluz, Zehra; Tincer, Teoman</t>
  </si>
  <si>
    <t>JOURNAL OF APPLIED POLYMER SCIENCE</t>
  </si>
  <si>
    <t>composites; degradation; polyolefins</t>
  </si>
  <si>
    <t>[Oluz, Zehra; Tincer, Teoman] Middle E Tech Univ, Dept Polymer Sci &amp; Technol, TR-06800 Ankara, Turkey; [Tincer, Teoman] Middle E Tech Univ, Dept Chem, TR-06800 Ankara, Turkey</t>
  </si>
  <si>
    <t>Middle East Technical University; Middle East Technical University</t>
  </si>
  <si>
    <t>Tincer, T (corresponding author), Middle E Tech Univ, Dept Polymer Sci &amp; Technol, TR-06800 Ankara, Turkey.;Tincer, T (corresponding author), Middle E Tech Univ, Dept Chem, TR-06800 Ankara, Turkey.</t>
  </si>
  <si>
    <t>teotin@metu.edu.tr</t>
  </si>
  <si>
    <t>Oluz, Zehra/0000-0003-1287-383X</t>
  </si>
  <si>
    <t>0021-8995</t>
  </si>
  <si>
    <t>1097-4628</t>
  </si>
  <si>
    <t>J APPL POLYM SCI</t>
  </si>
  <si>
    <t>J. Appl. Polym. Sci.</t>
  </si>
  <si>
    <t>MAY 5</t>
  </si>
  <si>
    <t>DC2PU</t>
  </si>
  <si>
    <t>WOS:000369059400018</t>
  </si>
  <si>
    <t>Fuzzy exponentially weighted moving average control chart for univariate data with a real case application</t>
  </si>
  <si>
    <t>Statistical process control (SPC) is an approach to evaluate processes whether they are in statistical control or not. For this aim, control charts are generally used. Since sample data may include uncertainties coming from measurement systems and environmental conditions, fuzzy numbers and/or linguistic variables can be used to capture these uncertainties. In this paper, one of the most popular control charts, exponentially weighted moving average control chart (EWMA) for univariate data are developed under fuzzy environment. The fuzzy EWMA control charts (FEWMA) can be used for detecting small shifts in the data represented by fuzzy numbers. FEWMA decreases number of false decisions by providing flexibility on the control limits. The production process of plastic buttons is monitored with FEWMA in Turkey as a real application. (C) 2014 Elsevier B.V. All rights reserved.</t>
  </si>
  <si>
    <t>10.1016/j.asoc.2014.04.022</t>
  </si>
  <si>
    <t>Senturk, S; Erginel, N; Kaya, I; Kahraman, C</t>
  </si>
  <si>
    <t>Senturk, Sevil; Erginel, Nihal; Kaya, Ihsan; Kahraman, Cengiz</t>
  </si>
  <si>
    <t>APPLIED SOFT COMPUTING</t>
  </si>
  <si>
    <t>Statistical process control; EWMA; Fuzzy control charts; Fuzzy EWMA</t>
  </si>
  <si>
    <t>LINGUISTIC DATA; ALPHA-CUTS; CONSTRUCTION</t>
  </si>
  <si>
    <t>[Senturk, Sevil] Anadolu Univ, Dept Stat, TR-26470 Eskisehir, Turkey; [Erginel, Nihal] Anadolu Univ, Dept Ind Engn, TR-26555 Eskisehir, Turkey; [Kaya, Ihsan] Yildiz Tekn Univ, Dept Ind Engn, TR-34349 Istanbul, Turkey; [Kahraman, Cengiz] Istanbul Tech Univ, Dept Ind Engn, TR-34367 Istanbul, Turkey</t>
  </si>
  <si>
    <t>Anadolu University; Anadolu University; Yildiz Technical University; Istanbul Technical University</t>
  </si>
  <si>
    <t>Kaya, I (corresponding author), Yildiz Tekn Univ, Dept Ind Engn, TR-34349 Istanbul, Turkey.</t>
  </si>
  <si>
    <t>ihkaya@yildiz.edu.tr</t>
  </si>
  <si>
    <t>kaya, ihsan/AAG-5642-2019; kahraman, cengiz/N-9259-2013; Erginel, Nihal/P-8301-2019</t>
  </si>
  <si>
    <t>kaya, ihsan/0000-0002-0142-4257; kahraman, cengiz/0000-0001-6168-8185; Erginel, Nihal/0000-0001-6231-9904</t>
  </si>
  <si>
    <t>1568-4946</t>
  </si>
  <si>
    <t>1872-9681</t>
  </si>
  <si>
    <t>APPL SOFT COMPUT</t>
  </si>
  <si>
    <t>Appl. Soft. Comput.</t>
  </si>
  <si>
    <t>Computer Science, Artificial Intelligence; Computer Science, Interdisciplinary Applications</t>
  </si>
  <si>
    <t>AK8VL</t>
  </si>
  <si>
    <t>WOS:000338706600001</t>
  </si>
  <si>
    <t>Polybrominated diphenyl ethers (PBDEs) pollution in soil of a highly industrialized region (Dilovasi) in Turkey: concentrations, spatial and temporal variations and possible sources</t>
  </si>
  <si>
    <t>In this study, polybrominated diphenyl ethers (PBDEs) levels in soil were studied for a whole year in highly industrialized region of Turkey (Dilovasi) at 23 sampling sites. Sigma 8PBDE concentrations were between 0.15 and 286 mu g kg(-1) and the overall average concentration was 14.45 +/- 25.07 g kg(-1) (average +/- SD). BDE-209 was the most abundant compound. PBDEs concentrations decreased spatially as follows: industrial/urban &gt; urban &gt; suburban &gt; rural. However, there was not any significant seasonal trend except for some industrial/urban sites. In the region, calm weather conditions prevailed during the sampling periods, enhancing the impact of the industrial emissions on nearby soil concentrations by atmospheric deposition without being diluted by winds. All congeners had significant but weak correlations with soil organic matter content indicating the impact of nearby sources rather than soil properties on soil PBDEs concentrations at the sampling sites. Positive matrix factorization method was also used for the apportionment of the PBDEs sources in Dilovasi soil. Industrial activities (i.e., iron-steel production, metallurgical processes, and recycling of plastics), traffic, and residential areas were found to be the primary sources of the measured PBDEs in the soil.</t>
  </si>
  <si>
    <t>10.1007/s10661-019-7610-1</t>
  </si>
  <si>
    <t>Cetin, B; Yurdakul, S; Odabasi, M</t>
  </si>
  <si>
    <t>Cetin, Banu; Yurdakul, Sema; Odabasi, Mustafa</t>
  </si>
  <si>
    <t>PBDEs; Industrial area; PMF; Source apportionment; Spatial distribution</t>
  </si>
  <si>
    <t>ORGANIC POLLUTANTS POPS; SOURCE APPORTIONMENT; DRY DEPOSITION; AREA; EXCHANGE; KOCAELI; IZMIR; DEBROMINATION; DISTRIBUTIONS; WASTE</t>
  </si>
  <si>
    <t>[Cetin, Banu] GTU, Environm Engn Dept, TR-41400 Kocaeli, Turkey; [Yurdakul, Sema] Suleyman Demirel Univ, Environm Engn Dept, TR-32260 Isparta, Turkey; [Odabasi, Mustafa] Dokuz Eylul Univ, Environm Engn Dept, Fac Engn, Tinaztepe Campus, TR-35160 Izmir, Turkey</t>
  </si>
  <si>
    <t>Suleyman Demirel University; Dokuz Eylul University</t>
  </si>
  <si>
    <t>Cetin, B (corresponding author), GTU, Environm Engn Dept, TR-41400 Kocaeli, Turkey.</t>
  </si>
  <si>
    <t>bcetin@gtu.edu.tr</t>
  </si>
  <si>
    <t>Yurdakul, Sema/ABG-2359-2021; Odabasi, Mustafa/A-5200-2009</t>
  </si>
  <si>
    <t>Odabasi, Mustafa/0000-0002-0506-0470</t>
  </si>
  <si>
    <t>Turkish Scientific and Technological Research Council (TUBITAK) [115Y366]</t>
  </si>
  <si>
    <t>This study was partly supported by the Turkish Scientific and Technological Research Council (TUBITAK) with the project number of 115Y366.</t>
  </si>
  <si>
    <t>IF6DW</t>
  </si>
  <si>
    <t>WOS:000473172300005</t>
  </si>
  <si>
    <t>Monitoring the Salt Stability of Layer-by-Layer Self-Assembled Films From Polyelectrolyte Blends by Quartz Crystal Microbalance-Dissipation and Their Ion Separation Performances</t>
  </si>
  <si>
    <t>Our study is concerned with the development of a novel type of layer-by-layer (LbL) self-assembled membrane from a single cationic polyelectrolyte (PE) and blended anionic PEs. Their synthetic seawater stability is investigated as a function of PE type and blend ratios using quartz crystal microbalance-dissipation (QCM-D). These materials adsorbed into multilayers with significant viscoelasticity. Poly(allylamine hydrochloride) (PAH) and poly(vinylamine hydrochloride) (PVA) based LbL blend films did not show any multilayer decomposition with the addition of synthetic seawater regardless of blend ratio while chitosan based multilayers disintegrated. The flux of PVA based blend membrane to water with 1,000 ppm NaCl was found to be 6.7 L/m(2).h at 40 bar and the flux properties of the membranes were highly dependent on both the thickness and hydrophilicity of multilayers. Ion rejection can be controlled with the charge of the top layer consistent with a Donnan exclusion approach. Sodium ion rejection of 60.5 layered LbL blend membrane was 98.4% at 40 bar and it was determined that sodium ion rejection improved 110.7% compared to a commercial nanofiltration membrane. POLYM. ENG. SCI., 60:1006-1018, 2020. (c) 2020 Society of Plastics Engineers</t>
  </si>
  <si>
    <t>10.1002/pen.25356</t>
  </si>
  <si>
    <t>Ergun, A; Tumer, EH; Cengiz, HY; Deligoz, H</t>
  </si>
  <si>
    <t>Ergun, Ayca; Tumer, Eda Hazal; Cengiz, Hacer Yesim; Deligoz, Huseyin</t>
  </si>
  <si>
    <t>NANOFILTRATION MEMBRANES; COMPOSITE MEMBRANES; THIN-FILMS; SURFACE MODIFICATION; POLYAMIDE MEMBRANES; MULTILAYERED FILMS; CHARGE-DENSITY; QCM-D; DESALINATION; WATER</t>
  </si>
  <si>
    <t>[Ergun, Ayca; Cengiz, Hacer Yesim; Deligoz, Huseyin] Istanbul Univ Cerrahpasa, Chem Engn, Engn Fac, TR-34320 Istanbul, Turkey; [Tumer, Eda Hazal] Gebze Tech Univ, Chem Engn, Engn Fac, TR-41400 Kocaeli, Turkey</t>
  </si>
  <si>
    <t>Istanbul University - Cerrahpasa; Gebze Technical University</t>
  </si>
  <si>
    <t>Deligoz, H (corresponding author), Istanbul Univ Cerrahpasa, Chem Engn, Engn Fac, TR-34320 Istanbul, Turkey.</t>
  </si>
  <si>
    <t>hdeligoz@istanbul.edu.tr</t>
  </si>
  <si>
    <t>Cengiz, Hacer/ACU-0646-2022; ERGÜN, AYÇA/AAH-1556-2019; Tümer, Eda Hazal/AAD-2964-2019</t>
  </si>
  <si>
    <t>Cengiz, Hacer/0000-0001-6684-7771; ERGÜN, AYÇA/0000-0003-3183-3729; Tümer, Eda Hazal/0000-0002-5290-5747; Deligoz, Huseyin/0000-0002-0915-2911</t>
  </si>
  <si>
    <t>Scientific and Technological Research Council of Turkey (TUBITAK) [114Y537]</t>
  </si>
  <si>
    <t>This study was financially supported by The Scientific and Technological Research Council of Turkey (TUBITAK) under the contract number of 114Y537. The authors gratefully thank to TUBITAK for the support.</t>
  </si>
  <si>
    <t>LP3LV</t>
  </si>
  <si>
    <t>WOS:000534221200015</t>
  </si>
  <si>
    <t>Colorimetric Bisphenol-A Detection With a Portable Smartphone-Based Spectrometer</t>
  </si>
  <si>
    <t>Water quality monitoring in resource-limited settings without access to a sophisticated laboratory requires the development of low cost and portable instrumentation. Herein, we propose a newly designed handheld reflection-based smart-phone sensing platform to detect Bisphenol-A (BPA), a well-known endocrine disruptor agent abundantly used in plastic industry. An experimental investigation relying on color change due to the formation of quinone-type complex was conducted with samples from two different water sources: distilled and commercial drinking water. This colorimetric measurement device was used to determine BPA in distilled water in alkaline environments. The successful combination of colorimetric assay and spectrometer facilitates limit of detection in the low ppm levels, 0.29 ppm for smartphone and 0.23 ppm for commercial spectrometer, with a sensitivity of 0.1/ppm.</t>
  </si>
  <si>
    <t>10.1109/JSEN.2018.2843794</t>
  </si>
  <si>
    <t>Bayram, A; Horzum, N; Metin, AU; Kilic, V; Solmaz, ME</t>
  </si>
  <si>
    <t>Bayram, Abdullah; Horzum, Nesrin; Metin, Aysegul Ulku; Kilic, Volkan; Solmaz, Mehmet Ertugrul</t>
  </si>
  <si>
    <t>IEEE SENSORS JOURNAL</t>
  </si>
  <si>
    <t>Bisphenol-A detection; image processing; optical sensing; smartphone spectrometer</t>
  </si>
  <si>
    <t>LINKED-IMMUNOSORBENT-ASSAY; ELECTROCHEMICAL SENSOR; ENDOCRINE DISRUPTOR; WATER SAMPLES; EXPOSURE; MICROSPHERES; SENSITIVITY; BOTTLES; BABY</t>
  </si>
  <si>
    <t>[Bayram, Abdullah] Izmir Katip Celebi Univ, Dept Mat Sci &amp; Engn, TR-35620 Izmir, Turkey; [Horzum, Nesrin] Izmir Katip Celebi Univ, Dept Engn Sci &amp; Engn, TR-35620 Izmir, Turkey; [Metin, Aysegul Ulku] Kirikkale Univ, Dept Chem, TR-71450 Kirikkale, Turkey; [Kilic, Volkan; Solmaz, Mehmet Ertugrul] Izmir Katip Celebi Univ, Dept Elect &amp; Elect Engn, TR-35620 Izmir, Turkey</t>
  </si>
  <si>
    <t>Izmir Katip Celebi University; Izmir Katip Celebi University; Kirikkale University; Izmir Katip Celebi University</t>
  </si>
  <si>
    <t>Horzum, N (corresponding author), Izmir Katip Celebi Univ, Dept Engn Sci &amp; Engn, TR-35620 Izmir, Turkey.</t>
  </si>
  <si>
    <t>abdullah.bayram@ikc.edu.tr; nesrin.horzum.polat@ikc.edu.tr; aumetin@kku.edu.tr; volkan.kilic@ikc.edu.tr; mehmete.solmaz@ikc.edu.tr</t>
  </si>
  <si>
    <t>Horzum, Nesrin/AAB-3714-2020; Bayram, Abdullah/Z-3262-2019</t>
  </si>
  <si>
    <t>Horzum, Nesrin/0000-0002-2782-0581; Kilic, Volkan/0000-0002-3164-1981; Bayram, Abdullah/0000-0002-6077-517X</t>
  </si>
  <si>
    <t>IEEE-INST ELECTRICAL ELECTRONICS ENGINEERS INC</t>
  </si>
  <si>
    <t>PISCATAWAY</t>
  </si>
  <si>
    <t>445 HOES LANE, PISCATAWAY, NJ 08855-4141 USA</t>
  </si>
  <si>
    <t>1530-437X</t>
  </si>
  <si>
    <t>1558-1748</t>
  </si>
  <si>
    <t>IEEE SENS J</t>
  </si>
  <si>
    <t>IEEE Sens. J.</t>
  </si>
  <si>
    <t>Engineering, Electrical &amp; Electronic; Instruments &amp; Instrumentation; Physics, Applied</t>
  </si>
  <si>
    <t>Engineering; Instruments &amp; Instrumentation; Physics</t>
  </si>
  <si>
    <t>GL3IE</t>
  </si>
  <si>
    <t>WOS:000437024600037</t>
  </si>
  <si>
    <t>Acute mechanical intestinal obstruction due to foreign body ingestion</t>
  </si>
  <si>
    <t>Introduction: Foreign body ingestion usually occurs accidentally and is a common condition in childhood, but it is rarely seen in adults and is frequently encountered in people with mental retardation and psychiatric disease. The outcome is usually defecation of the ingested materials but rarely requires surgical intervention. Case Report: A 33-year-old male patient was admitted to the emergency department with the complaint of constipation as a result of swallowing about 1000 plastic buttons yesterday. His acute mechanical intestinal obstruction was alleviated with conservative treatment and the patient discharged with recommendations. Conclusion: The number, shape, size, and time of ingestion determine the mode of treatment. There are three main principles in treatment. Endoscopic retraction, conservative follow-up and surgical intervention. Also, tomography should be considered as an option for foreign bodies that can not be visualized with direct radiography.</t>
  </si>
  <si>
    <t>10.33706/jemcr.601323</t>
  </si>
  <si>
    <t>Uysal, E; Celik, H; Hincal, SO; Turkdogan, KA</t>
  </si>
  <si>
    <t>Uysal, Emin; Celik, Hakan; Hincal, Sakir Omur; Turkdogan, Kenan Ahmet</t>
  </si>
  <si>
    <t>JOURNAL OF EMERGENCY MEDICINE CASE REPORTS</t>
  </si>
  <si>
    <t>Acute mechanical intestinal obstruction; foreign body ingestion; emergency department non-penetrating blunt trauma</t>
  </si>
  <si>
    <t>GASTROINTESTINAL-TRACT; BODIES; MANAGEMENT</t>
  </si>
  <si>
    <t>[Uysal, Emin; Celik, Hakan; Hincal, Sakir Omur; Turkdogan, Kenan Ahmet] Univ Hlth Sci, Bagcilar Training &amp; Res Hosp, Dept Emergency Med, TR-34100 Istanbul, Turkey</t>
  </si>
  <si>
    <t>Istanbul Bagcilar Training &amp; Research Hospital</t>
  </si>
  <si>
    <t>Uysal, E (corresponding author), Univ Hlth Sci, Bagcilar Training &amp; Res Hosp, Dept Emergency Med, TR-34100 Istanbul, Turkey.</t>
  </si>
  <si>
    <t>dreminuysal@hotmail.com</t>
  </si>
  <si>
    <t>HINCAL, SAKIR OMUR/0000-0002-2116-7710</t>
  </si>
  <si>
    <t>2149-9934</t>
  </si>
  <si>
    <t>J EMERG MED CASE REP</t>
  </si>
  <si>
    <t>J. Emerg. Med. Case Rep.</t>
  </si>
  <si>
    <t>KI4CV</t>
  </si>
  <si>
    <t>Green Submitted, Bronze</t>
  </si>
  <si>
    <t>WOS:000511297800008</t>
  </si>
  <si>
    <t>Mechanical Properties and Morphology of Wood Plastic Composites Produced with Thermally Treated Beech Wood</t>
  </si>
  <si>
    <t>The effect of thermal-treatment severity of wood on the mechanical and morphological properties of wood plastic composites (WPCs) was investigated. Wood chips were first heat treated at 120, 150, or 180 degrees C for 30 or 120 min under saturated steam in a digester. The composites were composed of thermally treated and untreated wood flour, polypropylene, and a coupling agent, produced by melt compounding and then injection molding. The thermal-treatment of the beech wood improved some mechanical properties of the WPCs, depending on the treatment-time and temperature. The SEM micrographs of the composites showed that the outer surface of the wood fiber was coated by a section of amorphous lignin. The SEM images showed that the WPCs produced from the wood treated at 150 degrees C for 30 min had considerably fewer holes and many broken fiber ends embedded in the polymer matrix, indicating better compatibility between the wood flour and the polymer matrix. Based on the results of the mechanical testing of the WPCs, the optimum thermal-treatment for WPC production was 150 degrees C for 30 min.</t>
  </si>
  <si>
    <t>Arwinfar, F; Hosseinihashemi, SK; Latibari, AJ; Lashgari, A; Ayrilmis, N</t>
  </si>
  <si>
    <t>Arwinfar, Farhad; Hosseinihashemi, Seyyed Khalil; Latibari, Ahmad Jahan; Lashgari, Amir; Ayrilmis, Nadir</t>
  </si>
  <si>
    <t>BIORESOURCES</t>
  </si>
  <si>
    <t>Thermal; Heat treatment; Mechanical properties; Wood-polypropylene</t>
  </si>
  <si>
    <t>200 DEGREES-C; HEAT-TREATMENT; DIMENSIONAL STABILIZATION; CHEMICAL-COMPOSITION; TEMPERATURE-RANGE; WATER; DEGRADATION; COMPONENTS; EXTRACTION; THICKNESS</t>
  </si>
  <si>
    <t>[Arwinfar, Farhad; Hosseinihashemi, Seyyed Khalil; Latibari, Ahmad Jahan; Lashgari, Amir] Islamic Azad Univ, Dept Wood Sci &amp; Paper Technol, Karaj Branch, Karaj, Iran; [Ayrilmis, Nadir] Istanbul Univ, Dept Wood Mech &amp; Technol, Fac Forestry, TR-34473 Istanbul, Turkey</t>
  </si>
  <si>
    <t>Islamic Azad University; Istanbul University</t>
  </si>
  <si>
    <t>Hosseinihashemi, SK (corresponding author), Islamic Azad Univ, Dept Wood Sci &amp; Paper Technol, Karaj Branch, Karaj, Iran.</t>
  </si>
  <si>
    <t>Hosseinihashemi, Seyyed Khalil/K-3554-2019; Hosseinihashemi, Seyyed Khalil/P-2556-2018; Ayrilmis, Nadir/F-1573-2015</t>
  </si>
  <si>
    <t>Hosseinihashemi, Seyyed Khalil/0000-0001-6236-0376; Hosseinihashemi, Seyyed Khalil/0000-0001-6236-0376; Ayrilmis, Nadir/0000-0002-9991-4800</t>
  </si>
  <si>
    <t>Department of Wood Science and Paper Technology, Karaj Branch, Islamic Azad University, Karaj, Iran</t>
  </si>
  <si>
    <t>The authors are grateful for the support of the Department of Wood Science and Paper Technology, Karaj Branch, Islamic Azad University, Karaj, Iran.</t>
  </si>
  <si>
    <t>NORTH CAROLINA STATE UNIV DEPT WOOD &amp; PAPER SCI</t>
  </si>
  <si>
    <t>RALEIGH</t>
  </si>
  <si>
    <t>CAMPUS BOX 8005, RALEIGH, NC 27695-8005 USA</t>
  </si>
  <si>
    <t>1930-2126</t>
  </si>
  <si>
    <t>BioResources</t>
  </si>
  <si>
    <t>DA3WX</t>
  </si>
  <si>
    <t>WOS:000367732700117</t>
  </si>
  <si>
    <t>Ileal perforation by an odd foreign object</t>
  </si>
  <si>
    <t>Perforation of the gastrointestinal tract is seldom observed in clinical practice, but is quite important because it is preventable and can usually be easily treated. We present here a case report of a young man who had unintentionally swallowed a foreign body and applied to an emergency unit with an acute abdomen. The patient, who was 23 years old, had undergone laparotomy with the primary diagnosis of acute appendicitis. During the operation a plastic foreign body was observed in the terminal part of the ileum protruding through its lumen. Appendectomy was performed with the removal of the foreign body and repair of the ileum. In the anamnesis taken retrospectively from the patient it was learned that the patient had swallowed something a day before the abdominal pain. The patient was discharged after the 7th day with a smooth follow-up.</t>
  </si>
  <si>
    <t>10.5152/UCD.2013.30</t>
  </si>
  <si>
    <t>Abdullayev, R; Aslan, M</t>
  </si>
  <si>
    <t>Abdullayev, Ruslan; Aslan, Mahmut</t>
  </si>
  <si>
    <t>TURKISH JOURNAL OF SURGERY</t>
  </si>
  <si>
    <t>Ileal perforation; foreign bodies; appendicitis</t>
  </si>
  <si>
    <t>SMALL-BOWEL PERFORATION; FISH BONE; GASTROINTESTINAL-TRACT; BODIES; INGESTION; SECONDARY; DIAGNOSIS</t>
  </si>
  <si>
    <t>[Abdullayev, Ruslan] Adiyaman Univ Egitim &amp; Arastirma Hastanesi, Anesteziyol &amp; Reanimasyon Anabilim Dali, Adiyaman, Turkey; [Aslan, Mahmut] Adiyaman Univ Egitim &amp; Arastirma Hastanesi, Gen Cerrahi Anabilim Dali, Adiyaman, Turkey</t>
  </si>
  <si>
    <t>Adiyaman University; Adiyaman University</t>
  </si>
  <si>
    <t>Abdullayev, R (corresponding author), Adiyaman Univ Egitim &amp; Arastirma Hastanesi, Anesteziyol &amp; Reanimasyon Anabilim Dali, Adiyaman, Turkey.</t>
  </si>
  <si>
    <t>ruslan_jnr@hotmail.com</t>
  </si>
  <si>
    <t>Abdullayev, Ruslan/0000-0002-1025-4026</t>
  </si>
  <si>
    <t>AVES</t>
  </si>
  <si>
    <t>SISLI</t>
  </si>
  <si>
    <t>BUYUKDERE CAD 105-9, MECIDIYEKOY, SISLI, ISTANBUL 34394, TURKEY</t>
  </si>
  <si>
    <t>1300-0705</t>
  </si>
  <si>
    <t>1308-8521</t>
  </si>
  <si>
    <t>TURK J SURG</t>
  </si>
  <si>
    <t>Turk. J. Surg.</t>
  </si>
  <si>
    <t>DE7WA</t>
  </si>
  <si>
    <t>WOS:000370846200016</t>
  </si>
  <si>
    <t>Physical quality characteristics of breast and leg meat of slow- and fast-growing broilers raised in different housing systems</t>
  </si>
  <si>
    <t>This study was made to determine the effects of genotype and housing system on physical quality characteristics of breast and leg meat of broilers under experimental conditions. The 150 slow-growing and 150 fast-growing 1 d old chicks were divided into three sub-groups with indoor raised slatted plastic floor, indoor concrete floor with rice hull litter, and free-range housing systems (2 genotype groups x 3 housing systems). All birds were offered the same diet and were housed in similar conditions until they were 56 d old. At slaughter, 10 birds from each main group were selected randomly to determine the quality characteristics of the meat. In total, 60 breast meat pieces (pectoralis major muscle) and 60 legs of the chickens were used for meat quality analysis including pH, shear force, and colour characteristics such as lightness (L*), redness (a*), yellowness (b*), saturation (C*), and hue angle (h*). The pH of breast meat was significantly affected by genotype and housing system (P &lt; 0.001 and P &lt; 0.001). There were significant genotype x housing system interactions for pH (P &lt; 0.015 and P &lt; 0.001) and shear force values (P &lt; 0.007 and P &lt; 0.012) of leg and breast meat. There were no significant effects of genotype and housing system on leg and breast meat colour properties except for effects of genotype on redness (a*) of breast meat (p &lt; 0.005) and effects of housing on redness of leg meat colour (p &lt; 0.031). Slow-growing chickens and chickens housed in deep litter had a higher redness (darker) value of breast and leg meat colour compared to fast-growing birds and free range and slatted floor. In conclusion, it can be said that fast-growing broilers may be more appropriate for slatted plastic floor housing and slow-growing broilers may be more suitable for a free-range housing system, but further research on factors affecting meat quality would be very beneficial, especially in slow-growing broilers.</t>
  </si>
  <si>
    <t>10.5194/aab-63-337-2020</t>
  </si>
  <si>
    <t>Ozbek, M; Petek, M; Ardicli, S</t>
  </si>
  <si>
    <t>Ozbek, Melahat; Petek, Metin; Ardicli, Sena</t>
  </si>
  <si>
    <t>CHICKEN-MEAT; FREE-RANGE; PERFORMANCE; CARCASS; MUSCLE; COLOR; INDICATORS; GENOTYPE; SEX</t>
  </si>
  <si>
    <t>[Ozbek, Melahat; Petek, Metin] Bursa Uludag Univ, Fac Vet Med, Dept Anim Sci, Bursa, Turkey; [Ardicli, Sena] Bursa Uludag Univ, Fac Vet Med, Dept Genet, Bursa, Turkey</t>
  </si>
  <si>
    <t>Uludag University; Uludag University</t>
  </si>
  <si>
    <t>Petek, M (corresponding author), Bursa Uludag Univ, Fac Vet Med, Dept Anim Sci, Bursa, Turkey.</t>
  </si>
  <si>
    <t>petek@uludag.edu.tr</t>
  </si>
  <si>
    <t>Ardicli, Sena/O-3394-2019</t>
  </si>
  <si>
    <t>Ardicli, Sena/0000-0003-2758-5945</t>
  </si>
  <si>
    <t>SEP 14</t>
  </si>
  <si>
    <t>NR6EX</t>
  </si>
  <si>
    <t>WOS:000571655900001</t>
  </si>
  <si>
    <t>Wear behavior of multilayer coated carbide tools in finish dry hard turning</t>
  </si>
  <si>
    <t>The aim of this study is to explore wear behaviors of carbide tools with a multilayer TiCN + Al2O3 + TiN coating on AISI-4340 and AISI-52100 hardened steel substrates generated by the medium temperature chemical vapor deposition (MTCVD) method in finish dry hard turning. Microscopic and microstructural wear aspects of multilayer-coated carbide tips were quantified at three cutting speeds using a constant feed rate of 0.027 mm x rev(-1) and a constant cutting depth of 0.2 mm. Scanning electron microscopy (SEM) and energy dispersive spectroscopy (EDS) were used to investigate worn tool surfaces, wear products and wear mechanisms. Wear mechanisms observed involved abrasion, adhesion, plastic flow, material transfer and tribochemical effects depending on mechanical and thermal conditions generated on the wear zones. Transfer layer formation with different morphologies was distinguished to occur at the rake-chip interface.</t>
  </si>
  <si>
    <t>10.3139/120.110914</t>
  </si>
  <si>
    <t>Cakan, A</t>
  </si>
  <si>
    <t>Cakan, Ahmet</t>
  </si>
  <si>
    <t>MATERIALS TESTING</t>
  </si>
  <si>
    <t>Cutting; tools; wear; monitoring; finish turning</t>
  </si>
  <si>
    <t>PERFORMANCE; INSERTS; FLUID</t>
  </si>
  <si>
    <t>[Cakan, Ahmet] Mersin Univ, Fac Engn, Dept Mech Engn, TR-33343 Mersin, Turkey</t>
  </si>
  <si>
    <t>Mersin University</t>
  </si>
  <si>
    <t>Cakan, A (corresponding author), Mersin Univ, Fac Engn, Dept Mech Engn, TR-33343 Mersin, Turkey.</t>
  </si>
  <si>
    <t>ahcakan@mersin.edu.tr</t>
  </si>
  <si>
    <t>Cakan, Ahmet/K-2735-2016</t>
  </si>
  <si>
    <t>Scientific Research Project Unit of Abant Izzet Baysal University, Bolu, Turkey [BAP 809.03.279]</t>
  </si>
  <si>
    <t>Scientific Research Project Unit of Abant Izzet Baysal University, Bolu, Turkey</t>
  </si>
  <si>
    <t>This research was financially supported by the Scientific Research Project Unit (BAP 809.03.279) of Abant Izzet Baysal University, Bolu, Turkey.</t>
  </si>
  <si>
    <t>CARL HANSER VERLAG</t>
  </si>
  <si>
    <t>MUNICH</t>
  </si>
  <si>
    <t>KOLBERGERSTRASSE 22, POSTFACH 86 04 20, D-81679 MUNICH, GERMANY</t>
  </si>
  <si>
    <t>0025-5300</t>
  </si>
  <si>
    <t>MATER TEST</t>
  </si>
  <si>
    <t>Mater. Test.</t>
  </si>
  <si>
    <t>Materials Science, Characterization &amp; Testing</t>
  </si>
  <si>
    <t>EB3DX</t>
  </si>
  <si>
    <t>WOS:000387243800011</t>
  </si>
  <si>
    <t>Degradability of bioplastics in anaerobic digestion systems and their effects on biogas production: a review</t>
  </si>
  <si>
    <t>Organic fraction of the municipal waste (OFMSW) is a valuable resource for biogas production through anaerobic digestion (AD). Bioplastics is widely used in daily activities, especially with food related items and collection bags, and can reach biogas plants through separate collection of OFMSW. PHAs, starch and cellulose based polymers with different compositions can degrade under anaerobic conditions. Cellulose and PHAs can degrade under both mesophilic and thermophilic conditions where, starch blends required thermophilic conditions in general. Other biopolymers, such as the most abundant PLA, are not able to degrade in the time frame of the facilities in most of the cases. Pre-treatment methods through abiotic and bio-augmentation, as well as post treatment methods, such as composting subsequent to AD are encountered as possible solutions for achieving better degradation or safer disposal of these polymers. The post-treatment/pre-disposal of the materials should be further studied as well as the pre-treatment methods. Studies on the effect of additives in biopolymers was not studied widely and requires further investigation. Degradation of biopolymers under AD, biogas production, pre-treatment and post-treatment methods as well as standard methods (or lack thereof) are discussed in detail in this paper, in order to point out to the possible scenarios that can be encountered when bioplastics end up in co-digestion conditions with organic material.</t>
  </si>
  <si>
    <t>10.1007/s11157-021-09610-z</t>
  </si>
  <si>
    <t>Vardar, S; Demirel, B; Onay, TT</t>
  </si>
  <si>
    <t>Vardar, Suat; Demirel, Burak; Onay, Turgut T.</t>
  </si>
  <si>
    <t>REVIEWS IN ENVIRONMENTAL SCIENCE AND BIO-TECHNOLOGY</t>
  </si>
  <si>
    <t>Anaerobic digestion; Bioplastics; Biopolymers; Degradability; Pre-treatment; Biogas production</t>
  </si>
  <si>
    <t>POLY(LACTIC ACID); THERMOPHILIC CONDITIONS; BIODEGRADATION TEST; PACKAGING MATERIALS; DEGRADATION; WASTE; PLASTICS; POLYLACTIDE; COMPOSITES; POLYESTERS</t>
  </si>
  <si>
    <t>[Vardar, Suat; Demirel, Burak; Onay, Turgut T.] Bogazici Univ, Inst Environm Sci, TR-34342 Istanbul, Turkey</t>
  </si>
  <si>
    <t>Vardar, S (corresponding author), Bogazici Univ, Inst Environm Sci, TR-34342 Istanbul, Turkey.</t>
  </si>
  <si>
    <t>suat.vardar@boun.edu.tr</t>
  </si>
  <si>
    <t>Vardar, Suat/ACO-0118-2022; Vardar, Suat/GQZ-6821-2022</t>
  </si>
  <si>
    <t>Vardar, Suat/0000-0002-2121-6690; Vardar, Suat/0000-0002-2121-6690</t>
  </si>
  <si>
    <t>1569-1705</t>
  </si>
  <si>
    <t>1572-9826</t>
  </si>
  <si>
    <t>REV ENVIRON SCI BIO</t>
  </si>
  <si>
    <t>Rev. Environ. Sci. Bio-Technol.</t>
  </si>
  <si>
    <t>YX1VK</t>
  </si>
  <si>
    <t>WOS:000741902000001</t>
  </si>
  <si>
    <t>First insight into polybrominated diphenyl ethers in car dust in Turkey: concentrations and human exposure implications</t>
  </si>
  <si>
    <t>The presence of polybrominated diphenyl ethers (PBDEs) in the car is due to their use as a flame retardant additive in various car components such as dashboard, plastic parts, seat and headliner cushion foams, insulated cables, and electronic circuits. Ingestion of dust inadvertently or dermal contact to dust are significant pathways of human exposure to pollutants including PBDEs. There are no studies documenting presence of car dust associated flame retardants in Turkey. In the current study, a total of 13 PBDEs congeners were investigated in 62 car dust samples collected from Bursa province of Turkey using glass-fiber filters and a vacuum cleaner. Results of the study showed that congener concentrations were within the range of &lt;MDL-40198 ng/g and PBDE-209, major component of commercial deca-BDE, showed the highest concentration among the targeted congeners. Assessment of exposure to analyzed PBDEs via inadvertent dust ingestion and skin contact showed toddlers are exposed to these chemicals approx. 10 times higher compared to adults. Hazard quotient (HQ) values calculated based on total exposure (ingestion + dermal contact) and were &lt; 1 for both adults and toddler indicated that exposure to car dust-associated PBDEs through ingestion and skin contact does not pose any health risks for human in Bursa.</t>
  </si>
  <si>
    <t>10.1007/s11356-020-09905-8</t>
  </si>
  <si>
    <t>Akcetin, MO; Gedik, K; Balci, S; Gul, HK; Birgul, A; Karakus, PBK</t>
  </si>
  <si>
    <t>Akcetin, Merve Ozkaleli; Gedik, Kadir; Balci, Selcuk; Gul, Hatice Kubra; Birgul, Askin; Karakus, Perihan Binnur Kurt</t>
  </si>
  <si>
    <t>Polybrominated diphenyl ethers (PBDEs); Car dust; Ingestion; Dermal contact; Exposure assessment; Bursa; Turkey</t>
  </si>
  <si>
    <t>BROMINATED FLAME RETARDANTS; IN-HOUSE DUST; POLYCHLORINATED-BIPHENYLS; INDOOR DUST; DECABROMODIPHENYL ETHER; DERMAL ABSORPTION; ORGANIC-COMPOUNDS; PBDES; AIR; FOOD</t>
  </si>
  <si>
    <t>[Akcetin, Merve Ozkaleli] Akdeniz Univ, Fac Engn, Dept Environm Engn, Antalya, Turkey; [Gedik, Kadir] Eskisehir Tech Univ, Fac Engn, Dept Environm Engn, Eskisehir, Turkey; [Balci, Selcuk; Gul, Hatice Kubra; Birgul, Askin; Karakus, Perihan Binnur Kurt] Bursa Tech Univ, Fac Engn &amp; Nat Sci, Dept Environm Engn, Bursa, Turkey</t>
  </si>
  <si>
    <t>Akdeniz University; Eskisehir Technical University; Bursa Technical University</t>
  </si>
  <si>
    <t>Karakus, PBK (corresponding author), Bursa Tech Univ, Fac Engn &amp; Nat Sci, Dept Environm Engn, Bursa, Turkey.</t>
  </si>
  <si>
    <t>perihan.kurt@btu.edu.tr</t>
  </si>
  <si>
    <t>AKÇETİN, Merve ÖZKALELİ/AAG-5655-2019; Kurt-Karakus, Perihan Binnur/AAG-5634-2019; Gedik, Kadir/AAE-2681-2019; Birgul, Askin/F-7879-2015</t>
  </si>
  <si>
    <t>AKÇETİN, Merve ÖZKALELİ/0000-0001-5593-7966; Kurt-Karakus, Perihan Binnur/0000-0001-6737-3475; Birgul, Askin/0000-0002-7718-0340</t>
  </si>
  <si>
    <t>Bursa Technical University Scientific Research Projects Coordination Unit (BTU-BAP) [172L11]</t>
  </si>
  <si>
    <t>Bursa Technical University Scientific Research Projects Coordination Unit (BTU-BAP)</t>
  </si>
  <si>
    <t>This study was supported by Bursa Technical University Scientific Research Projects Coordination Unit (BTU-BAP Grant #172L11).</t>
  </si>
  <si>
    <t>JUL 2020</t>
  </si>
  <si>
    <t>NV6OR</t>
  </si>
  <si>
    <t>WOS:000546523700002</t>
  </si>
  <si>
    <t>Comparison of Static/Dynamic Loading and Tensile Behavior of Interply and Intraply Hybridized Carbon/Basalt Epoxy Composites</t>
  </si>
  <si>
    <t>Hybridization of inherently brittle carbon fibers with basalt fibers in the fiber reinforced plastics results in improved impact damage resistance and ductility. This study investigates the effects of two hybridization types i.e., interply and intraply and compares the tensile, dynamic, and quasi-static loading behavior of the carbon/basalt hybrid composites. While low velocity impact (LVI) tests were conducted at rebounding, penetrating and perforating impact velocities of 4, 5.6 and 6.6 ms(-1), quasi-static indentation was monitored by acoustic emission signals to estimate the types of failures produced during the loading. Various parameters deduced from the experimental data were correlated with the structural configurations. Results showed that the type of hybridization and location of constituent fibers influenced the peak fracture forces, overall laminate ductility and damage degree. While the tensile strength and percent elongation of the intraply hybrid was higher, interply hybrids showed comparatively better damage absorption. Higher tensile strength and lower damage absorption in the intraply hybrids was a result of better interlayer cohesion and types of failure modes in the carbon yarns, respectively. In the interply hybrids, compliant deformation of basalt fibers and delamination of ductile fabric type interfaces improved the damage absorption of the laminate.</t>
  </si>
  <si>
    <t>10.1007/s10443-021-09973-0</t>
  </si>
  <si>
    <t>Zafar, HMN; Nair, F</t>
  </si>
  <si>
    <t>Zafar, Hafiz Muhammad Numan; NaIr, Fehmi</t>
  </si>
  <si>
    <t>APPLIED COMPOSITE MATERIALS</t>
  </si>
  <si>
    <t>Low-velocity impact; Acoustic emission; Intraply hybrid; Basalt fibers; Quasi-static indentation</t>
  </si>
  <si>
    <t>VELOCITY IMPACT PROPERTIES; DROP-WEIGHT IMPACT; MECHANICAL-PROPERTIES; WOVEN FABRICS; DAMAGE MODES; BASALT FIBER; FLEXURAL PROPERTIES; ACOUSTIC-EMISSION; GLASS-FIBERS; CARBON</t>
  </si>
  <si>
    <t>[Zafar, Hafiz Muhammad Numan] Erciyes Univ, Grad Sch Nat &amp; Appl Sci, TR-38039 Kayseri, Turkey; [NaIr, Fehmi] Erciyes Univ, Dept Mech Engn, Fac Engn, TR-38039 Kayseri, Turkey</t>
  </si>
  <si>
    <t>Erciyes University; Erciyes University</t>
  </si>
  <si>
    <t>Zafar, HMN (corresponding author), Erciyes Univ, Grad Sch Nat &amp; Appl Sci, TR-38039 Kayseri, Turkey.</t>
  </si>
  <si>
    <t>numan.zafar@live.com; fnair@erciyes.edu.tr</t>
  </si>
  <si>
    <t>Zafar, HAFIZ MUHAMMAD Numan/ABD-1121-2021; Nair, Fehmi/HNS-8027-2023; ZAFAR, Hafız Muhammad Numan/U-6680-2017</t>
  </si>
  <si>
    <t>ZAFAR, Hafız Muhammad Numan/0000-0001-7122-4974</t>
  </si>
  <si>
    <t>0929-189X</t>
  </si>
  <si>
    <t>1573-4897</t>
  </si>
  <si>
    <t>APPL COMPOS MATER</t>
  </si>
  <si>
    <t>Appl. Compos. Mater.</t>
  </si>
  <si>
    <t>Materials Science, Composites</t>
  </si>
  <si>
    <t>0W5VV</t>
  </si>
  <si>
    <t>WOS:000706570100001</t>
  </si>
  <si>
    <t>Effect of nitrogen deficiency during SBR operation on PHA storage and microbial diversity</t>
  </si>
  <si>
    <t>In this study, changes in microbial diversity and polyhydroxyalkanoate storage ability of activated sludge under aerobic dynamic feeding conditions were investigated. Two sequencing batch reactors were operated with and without nitrogen limitation, by applying a moderate sludge retention time. Polymer storage abilities of the biomasses were improved significantly under dynamic conditions, in terms of specific polymer storage rate, polymer storage yield and polymer content of activated sludge. Moreover, aerobic dynamic feeding conditions together with nutrient limitation further improved the storage ability of the mixed population. Polymer storage yields of the biomass enriched under nitrogen-sufficient and nitrogen-deficient conditions were 0.43 and 0.61 Cmmol PHA/Cmmol substrate, respectively. This study also contributes to the knowledge of activated sludge microbiology, providing detailed information about temporal changes in community structure under dynamic conditions. Microbial community structure was determined by 16S rDNA clone library construction. Also changes in communities under different operating conditions were monitored by DGGE analysis based on bacterial 16S rDNA. The beta subclass of Proteobacteria was the most abundant phylum in both reactors during the operation periods. Changes in the community structure occurred in terms of relative abundance of the operational taxonomic units (OTUs) rather than the OTU types present in the system.</t>
  </si>
  <si>
    <t>10.1080/09593330.2011.634441</t>
  </si>
  <si>
    <t>Ince, O; Basak, B; Ince, BK; Cetecioglu, Z; Celikkol, S; Kolukirik, M</t>
  </si>
  <si>
    <t>Ince, Orhan; Basak, Bertan; Ince, Bahar Kasapgil; Cetecioglu, Zeynep; Celikkol, Sukriye; Kolukirik, Mustafa</t>
  </si>
  <si>
    <t>ENVIRONMENTAL TECHNOLOGY</t>
  </si>
  <si>
    <t>polyhydroxyalkanoate; activated sludge; carbon to nitrogen ratio (C/N); DGGE; clone library</t>
  </si>
  <si>
    <t>SEQUENCING BATCH REACTOR; BETA-HYDROXYBUTYRATE METABOLISM; RIBOSOMAL-RNA GENES; ACTIVATED-SLUDGE; WASTE-WATER; BIODEGRADABLE PLASTICS; COMMUNITY; POLYHYDROXYALKANOATES; CULTURES; MICROORGANISMS</t>
  </si>
  <si>
    <t>[Ince, Orhan; Basak, Bertan; Cetecioglu, Zeynep] Istanbul Tech Univ, Dept Environm Engn, TR-34469 Istanbul, Turkey; [Ince, Bahar Kasapgil; Celikkol, Sukriye] Bogazici Univ, Inst Environm Sci, TR-34342 Istanbul, Turkey; [Kolukirik, Mustafa] Istanbul Tech Univ, Dept Mol Biol &amp; Genet, TR-34469 Istanbul, Turkey</t>
  </si>
  <si>
    <t>Istanbul Technical University; Bogazici University; Istanbul Technical University</t>
  </si>
  <si>
    <t>Ince, O (corresponding author), Istanbul Tech Univ, Dept Environm Engn, TR-34469 Istanbul, Turkey.</t>
  </si>
  <si>
    <t>inceor@itu.edu.tr</t>
  </si>
  <si>
    <t>İnce, Orhan/AAC-2814-2020; Cetecioglu, Zeynep/AAI-4517-2020</t>
  </si>
  <si>
    <t>Cetecioglu, Zeynep/0000-0002-8170-379X; Ince, Orhan/0000-0001-5028-8872</t>
  </si>
  <si>
    <t>Istanbul Technical University [32571]</t>
  </si>
  <si>
    <t>This work was supported by the Scientific Research Projects of Istanbul Technical University (project no. 32571). We wish thank to Halkali Kagit Karton Sanayi ve Tic. A.S. for kindly providing the sludge used as inoculum.</t>
  </si>
  <si>
    <t>0959-3330</t>
  </si>
  <si>
    <t>1479-487X</t>
  </si>
  <si>
    <t>ENVIRON TECHNOL</t>
  </si>
  <si>
    <t>Environ. Technol.</t>
  </si>
  <si>
    <t>996PI</t>
  </si>
  <si>
    <t>WOS:000308103500001</t>
  </si>
  <si>
    <t>Waste management: Some energy recovery processes</t>
  </si>
  <si>
    <t>Biomass energy is one of humanity's earliest sources of energy particularly in rural areas where it is often the only accessible and affordable source of energy. The use of biomass fuels provides substantial benefits as far as the environment is concerned. Biomass can be converted into liquid, solid and gaseous fuels with the help of some physical, chemical and biological conversion processes. Wastes are indispensable elements of human life. Solid wastes comprise garbage, paper, plastics, metals, wood and synthetic materials. A natural part of the life cycle, the waste occurs when any organism returns substances to the environment. Waste management is required to prevent deterioration of the ecological balance. Solid waste management was one of the most significant environmental issues encountered in developing countries. The natural wastes are disposed of by the ecological system. Important is the elimination of waste of natural artificial. There are various options available to convert solid waste to energy. Mainly, the following types of technologies are available: pyrolysis, gasification, anaerobic digestion, sanitary landfill, incineration, and other types. The gasification of biomass is a thermal treatment, which results in a high production of gaseous products and small quantities of char and ash. The pyrolysis process consists of the thermal degradation of the wastes in the absence of oxygen/air. The biogas production is the process conversion of a cellulosic material to methane gas in anaerobic conditions.</t>
  </si>
  <si>
    <t>Ak, N</t>
  </si>
  <si>
    <t>Ak, Namik</t>
  </si>
  <si>
    <t>ENERGY EDUCATION SCIENCE AND TECHNOLOGY PART A-ENERGY SCIENCE AND RESEARCH</t>
  </si>
  <si>
    <t>Biomass; Solid waste; Waste management; Energy recovery</t>
  </si>
  <si>
    <t>OIL METHYL-ESTER; DIESEL-ENGINE; BIODIESEL PRODUCTION; PERFORMANCE ANALYSIS; FUEL PROPERTIES; CANOLA OIL; EMISSIONS; FUTURE; OPTIMIZATION; BIOFUELS</t>
  </si>
  <si>
    <t>Sirnak Univ, Fac Engn, Dept Energy Syst Engn, Sirnak, Turkey</t>
  </si>
  <si>
    <t>Sirnak University</t>
  </si>
  <si>
    <t>Ak, N (corresponding author), Sirnak Univ, Fac Engn, Dept Energy Syst Engn, Sirnak, Turkey.</t>
  </si>
  <si>
    <t>dr.akhoca@gmail.com</t>
  </si>
  <si>
    <t>Ak, Namık/AAL-3819-2020</t>
  </si>
  <si>
    <t>SILA SCIENCE</t>
  </si>
  <si>
    <t>UNIV MAH,MEKAN SOK NO 24, TRABZON, 00000, TURKEY</t>
  </si>
  <si>
    <t>1308-772X</t>
  </si>
  <si>
    <t>ENER EDUC SCI TECH-A</t>
  </si>
  <si>
    <t>Energy Educ. Sci. Technol.-Part A</t>
  </si>
  <si>
    <t>Energy &amp; Fuels; Engineering, Environmental; Engineering, Chemical</t>
  </si>
  <si>
    <t>848XE</t>
  </si>
  <si>
    <t>WOS:000297087600065</t>
  </si>
  <si>
    <t>Preparation and characterization of strong cation exchange terpolymer resin as effective adsorbent for removal of disperse dyes</t>
  </si>
  <si>
    <t>In this study, (hydroxypropylmethacrylate-co-ethyleneglycol dimethacrylate-co-glycidylmetharylate) terpolymer resin functionalized with sulfonic acid groups was prepared and used as cation exchange resin for removal of two different disperse dyes (i.e., Direct Red R [DR-R] and Disperse Violet 28 [DV-28]) from aqueous solution. The properties of the adsorbent were determined using Fourier transform infrared, dynamic light scattering, scanning electron microscopy, and Brunauer, Emmett, and Teller methods. The maximum adsorption capacity of the resin for the DR-R and DV-28 was found to be 86.1 and 179.6 mg/g, respectively. Desorption study was realized to evaluate the reusability of the resin and the percent desorption from the resin for DR-R and DV-28 dyes was found to be approximately 89.4% and 91.7%, respectively. The experimental data were evaluated using different kinetics and isotherm models. These results show that the experimental data could be designated with the second-order kinetic model and both Langmuir and Temkin isotherm models. Finally, the presented resin was able to remove large amounts of organic pollutants in a short process time with a low amount of adsorbent. Thus, it was shown that the prepared resin has high potential for use as an effective and sustainable adsorbent for the treatment of industrial wastewater. POLYM. ENG. SCI., 2019. (c) 2019 Society of Plastics Engineers</t>
  </si>
  <si>
    <t>10.1002/pen.25272</t>
  </si>
  <si>
    <t>Bayramoglu, G; Kunduzcu, G; Arica, MY</t>
  </si>
  <si>
    <t>Bayramoglu, Gulay; Kunduzcu, Gul; Arica, Mehmet Yakup</t>
  </si>
  <si>
    <t>CONGO RED-DYE; LAYERED DOUBLE HYDROXIDES; AQUEOUS-SOLUTIONS; ADSORPTION CAPACITY; EFFICIENT REMOVAL; METHYLENE-BLUE; WASTE-WATER; KINETICS; BEADS; SULFONATION</t>
  </si>
  <si>
    <t>[Bayramoglu, Gulay; Arica, Mehmet Yakup] Gazi Univ, Biochem Proc &amp; Biomat Res Lab, TR-06500 Ankara, Turkey; [Bayramoglu, Gulay; Kunduzcu, Gul] Gazi Univ, Dept Chem, TR-06500 Ankara, Turkey</t>
  </si>
  <si>
    <t>Bayramoglu, G (corresponding author), Gazi Univ, Biochem Proc &amp; Biomat Res Lab, TR-06500 Ankara, Turkey.;Bayramoglu, G (corresponding author), Gazi Univ, Dept Chem, TR-06500 Ankara, Turkey.</t>
  </si>
  <si>
    <t>g_bayramoglu@hotmail.com</t>
  </si>
  <si>
    <t>Arica, M./AAA-1354-2022</t>
  </si>
  <si>
    <t>OCT 2019</t>
  </si>
  <si>
    <t>KA2OV</t>
  </si>
  <si>
    <t>WOS:000494202100001</t>
  </si>
  <si>
    <t>A Wireless Passive Sensing System for Displacement/Strain Measurement in Reinforced Concrete Members</t>
  </si>
  <si>
    <t>In this study, we show a wireless passive sensing system embedded in a reinforced concrete member successfully being employed for the measurement of relative displacement and strain in a simply supported beam experiment. The system utilizes electromagnetic coupling between the transceiver antenna located outside the beam, and the sensing probes placed on the reinforcing bar (rebar) surface inside the beam. The probes were designed in the form of a nested split-ring resonator, a metamaterial-based structure chosen for its compact size and high sensitivity/resolution, which is at mu m/microstrains level. Experiments were performed in both the elastic and plastic deformation cases of steel rebars, and the sensing system was demonstrated to acquire telemetric data in both cases. The wireless measurement results from multiple probes are compared with the data obtained from the strain gages, and an excellent agreement is observed. A discrete time measurement where the system records data at different force levels is also shown. Practical issues regarding the placement of the sensors and accurate recording of data are discussed. The proposed sensing technology is demonstrated to be a good candidate for wireless structural health monitoring (SHM) of reinforced concrete members by its high sensitivity and wide dynamic range.</t>
  </si>
  <si>
    <t>10.3390/s16040496</t>
  </si>
  <si>
    <t>Ozbey, B; Erturk, VB; Demir, HV; Altintas, A; Kurc, O</t>
  </si>
  <si>
    <t>Ozbey, Burak; Erturk, Vakur B.; Demir, Hilmi Volkan; Altintas, Ayhan; Kurc, Ozgur</t>
  </si>
  <si>
    <t>wireless passive sensors; metamaterial based sensors; structural health monitoring; simply supported beam experiment; elastic-plastic deformation of steel; strain measurement; displacement measurement</t>
  </si>
  <si>
    <t>METAMATERIAL; SENSOR; ANTENNA</t>
  </si>
  <si>
    <t>[Ozbey, Burak; Erturk, Vakur B.; Demir, Hilmi Volkan; Altintas, Ayhan] Bilkent Univ, Dept Elect &amp; Elect Engn, TR-06800 Ankara, Turkey; [Demir, Hilmi Volkan] Nanyang Technol Univ, Sch Elect &amp; Elect Engn, Singapore 639798, Singapore; [Kurc, Ozgur] Middle E Tech Univ, Dept Civil Engn, TR-06800 Ankara, Turkey</t>
  </si>
  <si>
    <t>Ihsan Dogramaci Bilkent University; Nanyang Technological University &amp; National Institute of Education (NIE) Singapore; Nanyang Technological University; Middle East Technical University</t>
  </si>
  <si>
    <t>Ozbey, B (corresponding author), Bilkent Univ, Dept Elect &amp; Elect Engn, TR-06800 Ankara, Turkey.</t>
  </si>
  <si>
    <t>ozbey@ee.bilkent.edu.tr; vakur@ee.bilkent.edu.tr; volkan@bilkent.edu.tr; altintas@ee.bilkent.edu.tr; kurc@metu.edu.tr</t>
  </si>
  <si>
    <t>Demir, Hilmi Volkan/AAV-2194-2020; Ozbey, Burak/T-5307-2019; erturk, vakur/Q-7783-2019; Kurc, Ozgur/AAZ-9948-2020</t>
  </si>
  <si>
    <t>Demir, Hilmi Volkan/0000-0003-1793-112X; Ozbey, Burak/0000-0001-7485-2132; erturk, vakur/0000-0003-0780-5015; Kurc, Ozgur/0000-0002-4761-6211; altintas, ayhan/0000-0002-3501-4010</t>
  </si>
  <si>
    <t>Scientific and Technological Research Council of Turkey (TUBITAK) EEEAG [112E255]; European Science Foundation (EURYI); TUBITAK BIDEB; Turkish National Academy of Sciences (TUBA)</t>
  </si>
  <si>
    <t>Scientific and Technological Research Council of Turkey (TUBITAK) EEEAG(Turkiye Bilimsel ve Teknolojik Arastirma Kurumu (TUBITAK)); European Science Foundation (EURYI)(European Science Foundation (ESF)); TUBITAK BIDEB(Turkiye Bilimsel ve Teknolojik Arastirma Kurumu (TUBITAK)); Turkish National Academy of Sciences (TUBA)(Turkish Academy of Sciences)</t>
  </si>
  <si>
    <t>We would like to thank the support from The Scientific and Technological Research Council of Turkey (TUBITAK) EEEAG grant No. 112E255. Hilmi Volkan Demir also gratefully acknowledges the support from European Science Foundation (EURYI), as well as TUBITAK BIDEB and the Turkish National Academy of Sciences (TUBA). We also thank Utku Albostan and Deniz Ruhi Yalcin for their valuable efforts in preparation of the setup and conducting of the experiments in Middle East Technical University.</t>
  </si>
  <si>
    <t>DK8CB</t>
  </si>
  <si>
    <t>Green Published, Green Submitted, gold</t>
  </si>
  <si>
    <t>WOS:000375153700076</t>
  </si>
  <si>
    <t>Sequential (anaerobic-aerobic) treatment of beet molasses alcoholic fermentation wastewater</t>
  </si>
  <si>
    <t>The anaerobic treatability and methane generation potential of beet molasses alcoholic fermentation wastewater (BMAFW) were investigated. Continuous reactor experiments were carried out in a two-stage upflow anaerobic packed bed reactor (UAPBR) with plastic balls as support material. Experiments with alcohol distillery-wastewater were continued for 200 days with organic loads changing between 2.71-5.48 and 0.68-1.18 g COD L-1 day(-1) for UAPBR1 and UAPBR2, respectively. A 97 % total COD removal in two reactors was achieved at 4.8 g COD L-1 day(-1) organic load and 175 h retention time. Following the UAPBR experiments, aerobic experiments were carried out in the batch reactors with Penicillium decumbens, Penicillium crustosum, Aspergillus niger as well as activated sludge. P. decumbens demonstrated maximum decolorization and COD removal with levels of up to 58% and 83%, respectively.</t>
  </si>
  <si>
    <t>Iscen, CF; Ilhan, S</t>
  </si>
  <si>
    <t>Iscen, Cansu Filik; Ilhan, Semra</t>
  </si>
  <si>
    <t>anaerobic digestion; beet molasses; sequential treatment; treatment efficiency; upflow anaerobic packed bed reactor (UAPBR)</t>
  </si>
  <si>
    <t>BIOLOGICAL TREATMENT; UASB-REACTORS; CHEESE-WHEY; DIGESTION; DECOLORIZATION; WASTEWATERS; BATCH</t>
  </si>
  <si>
    <t>[Iscen, Cansu Filik] Eskisehir Osmangazi Univ, Fac Educ, Dept Elementary Educ, TR-26480 Meselik, Eskisehir, Turkey; [Ilhan, Semra] Eskisehir Osmangazi Univ, Fac Sci &amp; Art, Dept Biol, TR-26480 Meselik, Eskisehir, Turkey</t>
  </si>
  <si>
    <t>Eskisehir Osmangazi University; Eskisehir Osmangazi University</t>
  </si>
  <si>
    <t>Iscen, CF (corresponding author), Eskisehir Osmangazi Univ, Fac Educ, Dept Elementary Educ, TR-26480 Meselik, Eskisehir, Turkey.</t>
  </si>
  <si>
    <t>cfilik@gmail.com</t>
  </si>
  <si>
    <t>İLHAN, Semra/AAG-5023-2021; ISCEN, Cansu FILIK/AAG-7705-2020</t>
  </si>
  <si>
    <t>ISCEN, Cansu FILIK/0000-0001-5463-8825</t>
  </si>
  <si>
    <t>301LU</t>
  </si>
  <si>
    <t>WOS:000255898500004</t>
  </si>
  <si>
    <t>Usage of the thermic building element activation in cooling</t>
  </si>
  <si>
    <t>One of the most important subject in the present days is the environmental pollution and decrement of natural energy sources. The continuous guarantee of life base is supplied by both decreasing energy consumption and using the environmental energy. Main reason for application of thermal building elements activation is the usage of environmental energy and returning back of producing cooling by using electrical energy. Plastic capillary tube system is placed either just under the tipper surface or above surfaces of air conditioned volume. These prevent adjustment of little lower temperatures of ceiling, side walls or floor. Heat transfer between the activated surfaces and heat diffuser forms mainly by thermal radiation. There is here a combination of a cooling cover with source air conditioning. Cooling covers can be useful and can be used conveniently for over coming the problems of power cooling systems. Design should be made for the appropriate requirement. In the present paper, objective information are given related to the some basic fundamentals.</t>
  </si>
  <si>
    <t>Can, A</t>
  </si>
  <si>
    <t>STROJARSTVO</t>
  </si>
  <si>
    <t>Croatian</t>
  </si>
  <si>
    <t>air conditioning; building element; cooling; environmental protection; thermic building element activation</t>
  </si>
  <si>
    <t>Trakya Univ, Fac Engn &amp; Architecture, TR-22030 Edirne, Turkey</t>
  </si>
  <si>
    <t>Can, A (corresponding author), Trakya Univ, Fac Engn &amp; Architecture, TR-22030 Edirne, Turkey.</t>
  </si>
  <si>
    <t>can@trakya.edu.tr</t>
  </si>
  <si>
    <t>UREDNISTVO CASOPISA STROJARTVO</t>
  </si>
  <si>
    <t>ZAGREB</t>
  </si>
  <si>
    <t>BERISLAVICEVA 6, 10000 ZAGREB, CROATIA</t>
  </si>
  <si>
    <t>0562-1887</t>
  </si>
  <si>
    <t>Strojarstvo</t>
  </si>
  <si>
    <t>JAN-APR</t>
  </si>
  <si>
    <t>Engineering, Mechanical</t>
  </si>
  <si>
    <t>649HQ</t>
  </si>
  <si>
    <t>WOS:000181201900004</t>
  </si>
  <si>
    <t>IoT-Based pH monitoring for detection of rumen acidosis</t>
  </si>
  <si>
    <t>Rumen acidosis is a fatal disease that reduces milk and pregnancy yield due to digestion of cattle and when not detected. Diagnosis of this disease can be achieved by monitoring the nutritional parameters of the cattle. Internet of Things (IoT) technology is a technology used in these kinds of processes such as monitoring and tracking within the scope of Industry 4.0. Thanks to the IoT, data collection, analysis, and data processing stages are carried out instantly over the internet. In this research, an IoT-based system has been developed that can be effective in diagnosing acute rumen acidosis disease in cattle and monitoring the control of data by recording nutritional parameters. Rumen pH and temperature values were measured with an IoT-supported microcontroller, and the data were recorded in the database on the server using. The circuit and software were first tested in the laboratory environment and then in the rumen of the cannulated cattle. The pH and temperature values of rumen were measured and recorded instantaneously at certain intervals (when the animal was ruminating, after drinks water, after eating dry food, and while at rest). When the device is removed from the rumen, it has been observed that the PLA-type plastic material used in the coating of the circuit does not wear. The device was useful in the early detection of acidosis disease of an animal fed with dry feed for more than 2 hours before it turns into epilepsy and provided early intervention in the regulation of the ration.</t>
  </si>
  <si>
    <t>10.1590/1678-4162-12659</t>
  </si>
  <si>
    <t>Gunduz, KA; Basciftci, F</t>
  </si>
  <si>
    <t>Gunduz, K. A.; Basciftci, F.</t>
  </si>
  <si>
    <t>ARQUIVO BRASILEIRO DE MEDICINA VETERINARIA E ZOOTECNIA</t>
  </si>
  <si>
    <t>acidosis; internet of things (IoT); monitoring; pH; real-time; rumen</t>
  </si>
  <si>
    <t>RUMINAL ACIDOSIS; DAIRY-COWS; SENSOR; CATTLE</t>
  </si>
  <si>
    <t>[Gunduz, K. A.] Selcuk Univ, Kadinhani Faik Icil Vocat Sch, Comp Technol, TR-42800 Kadinhani, Konya, Turkey; [Basciftci, F.] Selcuk Univ, Technol Fac, Dept Comp Engn, Selcuk Univ Campus, TR-42075 Konya, Turkey</t>
  </si>
  <si>
    <t>Selcuk University; Selcuk University</t>
  </si>
  <si>
    <t>Gunduz, KA (corresponding author), Selcuk Univ, Kadinhani Faik Icil Vocat Sch, Comp Technol, TR-42800 Kadinhani, Konya, Turkey.</t>
  </si>
  <si>
    <t>aykutalp@selcuk.edu.tr</t>
  </si>
  <si>
    <t>GUNDUZ, Kamil Aykutalp/AHA-2174-2022</t>
  </si>
  <si>
    <t>GUNDUZ, Kamil Aykutalp/0000-0002-2290-5447</t>
  </si>
  <si>
    <t>ARQUIVO BRASILEIRO MEDICINA VETERINARIA ZOOTECNIA</t>
  </si>
  <si>
    <t>MINAS GERAIS</t>
  </si>
  <si>
    <t>FEDERAL MINAS GERAIS CAIXA POSTAL 567-BELO HORIZ, MINAS GERAIS, BRAZIL</t>
  </si>
  <si>
    <t>0102-0935</t>
  </si>
  <si>
    <t>1678-4162</t>
  </si>
  <si>
    <t>ARQ BRAS MED VET ZOO</t>
  </si>
  <si>
    <t>Arq. Bras. Med. Vet. Zootec.</t>
  </si>
  <si>
    <t>MAY-JUN</t>
  </si>
  <si>
    <t>2P6LF</t>
  </si>
  <si>
    <t>WOS:000819849300011</t>
  </si>
  <si>
    <t>Hydrolytic degradation of bio-based polyesters: Effect of pH and time</t>
  </si>
  <si>
    <t>A hydrolytic degradation study of two bio-based polyesters, poly(trimethylene malonate) (PTM) and poly(trimethylene itaconate) (PTI) with bimodal molecular weight distribution, was performed in aqueous solutions adjusted to pH values from similar to 5.5 to 1.1. Final weight loss varied from 20 to 37 wt% for PTM and from 7 to 21 wt% for PTI as a function of degradation time and initial solution pH. Fourier transform infrared (FTIR) spectroscopy was used to monitor ester bond concentration of these bio-plastics, and the molecular weights and polydispersity index were obtained by gel-permeation chromatography (GPC). Solutions with lower initial pH values resulted in lower molecular weights for both PTM and PTI after one week of degradation. Degradation especially affected the amorphous region, leading to an increase in crystallinity of PTI samples. (C) 2016 Elsevier Ltd. All rights reserved.</t>
  </si>
  <si>
    <t>10.1016/j.polymertesting.2016.04.015</t>
  </si>
  <si>
    <t>Rowe, MD; Eyiler, E; Walters, KB</t>
  </si>
  <si>
    <t>Rowe, Mathew D.; Eyiler, Ersan; Walters, Keisha B.</t>
  </si>
  <si>
    <t>POLYMER TESTING</t>
  </si>
  <si>
    <t>Bioplastics; Polyester; Melt polycondensation; Hydrolytic degradation</t>
  </si>
  <si>
    <t>ALIPHATIC POLYESTERS; POLY(L-LACTIDE); ACID)</t>
  </si>
  <si>
    <t>[Rowe, Mathew D.; Eyiler, Ersan; Walters, Keisha B.] Mississippi State Univ, Dave C Swaim Sch Chem Engn, Mississippi State, MS 39762 USA; [Eyiler, Ersan] Cukurova Univ, Dept Chem Engn, TR-01950 Adana, Turkey</t>
  </si>
  <si>
    <t>Mississippi State University; Cukurova University</t>
  </si>
  <si>
    <t>Eyiler, E; Walters, KB (corresponding author), Mississippi State Univ, Dave C Swaim Sch Chem Engn, Mississippi State, MS 39762 USA.;Eyiler, E (corresponding author), Cukurova Univ, Dept Chem Engn, TR-01950 Adana, Turkey.</t>
  </si>
  <si>
    <t>eeyiler@gmail.com; kwalters@che.msstate.edu</t>
  </si>
  <si>
    <t>Eyiler, Ersan/E-7517-2018; Walters, Keisha/HTL-6118-2023</t>
  </si>
  <si>
    <t>Eyiler, Ersan/0000-0002-1754-6590; Walters, Keisha/0000-0002-0875-2659</t>
  </si>
  <si>
    <t>Sustainable Energy Research Center at Mississippi State University under the Department of Energy [DE-FG3606GO86025]; NSF funding [CBET 0933493]; MSU Bagley College of Engineering Ph.D. Fellowship; Republic of Turkey Ministry of National Education</t>
  </si>
  <si>
    <t>Sustainable Energy Research Center at Mississippi State University under the Department of Energy; NSF funding; MSU Bagley College of Engineering Ph.D. Fellowship; Republic of Turkey Ministry of National Education(Ministry of National Education - Turkey)</t>
  </si>
  <si>
    <t>This work was partially funded through the Sustainable Energy Research Center at Mississippi State University under the Department of Energy award DE-FG3606GO86025. DSC instrument used in this study was acquired with NSF funding (CBET 0933493). MSU Bagley College of Engineering Ph.D. Fellowship and The Republic of Turkey Ministry of National Education are also acknowledged for financial support. Undergraduate researchers on this project, Mitch Wall, Erin Smith, Zach Wynne, and Philip Jamison, are greatly appreciated for their hard work.</t>
  </si>
  <si>
    <t>0142-9418</t>
  </si>
  <si>
    <t>1873-2348</t>
  </si>
  <si>
    <t>POLYM TEST</t>
  </si>
  <si>
    <t>Polym. Test</t>
  </si>
  <si>
    <t>Materials Science, Characterization &amp; Testing; Polymer Science</t>
  </si>
  <si>
    <t>DQ7DA</t>
  </si>
  <si>
    <t>WOS:000379365900026</t>
  </si>
  <si>
    <t>Restaurant wastewater treatment by constructed wetlands</t>
  </si>
  <si>
    <t>A low-cost method for domestic wastewater treatment has been developed for scattered settlements in rural areas with no sewer facilities. The system was operated with only restaurant wastewaters having pollutant strengths 2 to 4 times higher than typical domestic wastewater. The system dimensions were 1 m x 4 m x 0.4 m (W x L x H). The three layers inside were separated by plastic sheets and filled with 10 cm thick peat layers. The system could treat up to 400 L of restaurant wastewater daily with removal rates of COD, TKN, PO4-P, N-Total, and SS of 94.4, 2.7, 0.23, 2.95, and 87.2 g/m(2), respectively. The system was equipped with a disinfection unit having two 8 W UV lamps. The efficiency of disinfection was tested based on the pathogen count in the effluent. No Escherichia coli or fecal coliforms were detected in the effluent.</t>
  </si>
  <si>
    <t>10.1002/clen.200700142</t>
  </si>
  <si>
    <t>Gunes, K</t>
  </si>
  <si>
    <t>Gunes, Kemal</t>
  </si>
  <si>
    <t>CLEAN-SOIL AIR WATER</t>
  </si>
  <si>
    <t>restaurant wastewater treatment; constructed wetland; low-cost treatment; peat filtration; natural treatment</t>
  </si>
  <si>
    <t>REMOVAL</t>
  </si>
  <si>
    <t>TUBITAK Marmara Res Ctr, Chem &amp; Environm Inst, TR-41470 Gebze, Turkey</t>
  </si>
  <si>
    <t>Gunes, K (corresponding author), TUBITAK Marmara Res Ctr, Chem &amp; Environm Inst, TR-41470 Gebze, Turkey.</t>
  </si>
  <si>
    <t>Kemal.Gunes@mam.gov.tr</t>
  </si>
  <si>
    <t>WILEY-V C H VERLAG GMBH</t>
  </si>
  <si>
    <t>WEINHEIM</t>
  </si>
  <si>
    <t>PO BOX 10 11 61, D-69451 WEINHEIM, GERMANY</t>
  </si>
  <si>
    <t>1863-0650</t>
  </si>
  <si>
    <t>Clean-Soil Air Water</t>
  </si>
  <si>
    <t>Green &amp; Sustainable Science &amp; Technology; Environmental Sciences; Marine &amp; Freshwater Biology; Water Resources</t>
  </si>
  <si>
    <t>Science &amp; Technology - Other Topics; Environmental Sciences &amp; Ecology; Marine &amp; Freshwater Biology; Water Resources</t>
  </si>
  <si>
    <t>250JE</t>
  </si>
  <si>
    <t>WOS:000252295100015</t>
  </si>
  <si>
    <t>Genotoxic effect of microplastics and COVID-19: The hidden threat</t>
  </si>
  <si>
    <t>Microplastics (MPs) are ubiquitous anthropogenic contaminants, and their abundance in the entire ecosystem raises the question of how far is the impact of these MPs on the biota, humans, and the environment. Recent research has overemphasized the occurrence, characterization, and direct toxicity of MPs; however, determining and understanding their genotoxic effect is still limited. Thus, the present review addresses the genotoxic potential of these emerging contaminants in aquatic organisms and in human peripheral lymphocytes and identified the research gaps in this area. Several genotoxic endpoints were implicated, including the frequency of micronuclei (MN), nucleoplasmic bridge (NPB), nuclear buds (NBUD), DNA strand breaks, and the percentage of DNA in the tail (%Tail DNA). In addition, the mechanism of MPs-induced genotoxicity seems to be closely associated with reactive oxygen species (ROS) production, inflammatory responses, and DNA repair interference. However, the gathered information urges the need for more studies that present environmentally relevant conditions. Taken into consideration, the lifestyle changes within the COVID-19 pandemic, we discussed the impact of the pandemic on enhancing the genotoxic potential of MPs whether through increasing human exposure to MPs via inappropriate disposal and overconsumption of plastic-based products or by disrupting the defense system owing to unhealthy food and sleep deprivation as well as stress. Overall, this review provided a reference for the genotoxic effect of MPs, their mechanism of action, as well as the contribution of COVID-19 to increase the genotoxic risk of MPs.</t>
  </si>
  <si>
    <t>10.1016/j.chemosphere.2021.131898</t>
  </si>
  <si>
    <t>Tagorti, G; Kaya, B</t>
  </si>
  <si>
    <t>Tagorti, Ghada; Kaya, Bulent</t>
  </si>
  <si>
    <t>COVID-19; DNA repair; Genotoxicity; Human exposure; Microplastics; Oxidative stress</t>
  </si>
  <si>
    <t>HOUSEHOLD AIR-POLLUTION; SOLID-FUEL USE; OXIDATIVE STRESS; MARINE-ENVIRONMENT; PERIPHERAL-BLOOD; DAMAGE; IMPACTS; REPAIR; SOILS; PROLIFERATION</t>
  </si>
  <si>
    <t>[Tagorti, Ghada; Kaya, Bulent] Akdeniz Univ, Fac Sci, Dept Biol, TR-07058 Antalya, Turkey</t>
  </si>
  <si>
    <t>Kaya, B (corresponding author), Akdeniz Univ, Fac Sci, Dept Biol, TR-07058 Antalya, Turkey.</t>
  </si>
  <si>
    <t>bkaya@akdeniz.edu.tr</t>
  </si>
  <si>
    <t>Liu, Hai-Ying/P-5557-2014</t>
  </si>
  <si>
    <t>Liu, Hai-Ying/0000-0001-8667-3465</t>
  </si>
  <si>
    <t>WD2GF</t>
  </si>
  <si>
    <t>WOS:000704765200005</t>
  </si>
  <si>
    <t>Composting of Apple Scab (Venturia inaequalis) Infected Leaves with Dairy Manure</t>
  </si>
  <si>
    <t>The material used for composting may contain pathogenic or harmful microorganisms, therefore, it is important issue to eliminate harmful or pathogenic microorganisms during the composting process to be used in plant production. Three different mixtures were prepared at initial C/N ratio of 35.34, 40.10, and 47 fixing the apple scab infected leaves at 62% dry weight basis. Composting study was carried out using three identical cylindrical reactors made of two nested plastic containers with 65 L. Temperature, moisture, carbon/nitrogen ratio, organic matter EC, pH, and O-2/CO2 concentrations were monitored during process. Apple scab disease incidence of apple leaves and the colony number during composting, compost microbial population, and germination index of compost mixtures were determined. Except for the temperature rise to 65 degrees C for a short time at 7 days of composting for Mix-1, all temperature for three mixes stayed between 24 and 46 degrees C. Disease severity of apple scab obtained from the compost samples showed that colony of apple scab after 16 days of composting were not detected. Furthermore, the population of beneficial microorganisms such as bacteria, actinomycetes, and fungi was colonized in the finished compost mixes. Germination index at the finished compost were above 80% for Mix-1, Mix-2, and Mix-3 at 10(-3) dilution rate. In conclusion, composts obtained from apple scab infected leaves with dairy manure can be used reliably in agricultural production.</t>
  </si>
  <si>
    <t>10.1007/s10341-021-00565-7</t>
  </si>
  <si>
    <t>Ekinci, K; Ozkaya, HO; Memici, M; Kurt, C; Bitrak, B</t>
  </si>
  <si>
    <t>Ekinci, Kamil; Ozkaya, Hulya Ozgonen; Memici, Murat; Kurt, Cigdem; Bitrak, Berk</t>
  </si>
  <si>
    <t>ERWERBS-OBSTBAU</t>
  </si>
  <si>
    <t>Apple; Composting; Apple scab; Manure; Venturia inaequalis</t>
  </si>
  <si>
    <t>MILL WASTE-WATER; PLANT-PATHOGENS; LEAF-LITTER; OLIVE; INACTIVATION; RESIDUES; QUALITY; SLUDGE</t>
  </si>
  <si>
    <t>[Ekinci, Kamil; Memici, Murat; Kurt, Cigdem] Isparta Univ Appl Sci, Fac Agr, Dept Agr Machinery &amp; Technol Engn, TR-32260 Isparta, Turkey; [Ozkaya, Hulya Ozgonen] Isparta Univ Appl Sci, Fac Agr, Dept Plant Protect, TR-32260 Isparta, Turkey; [Bitrak, Berk] Suleyman Demirel Univ, Fac Engn, Dept Environm Engn, TR-32260 Isparta, Turkey</t>
  </si>
  <si>
    <t>Isparta University of Applied Sciences; Isparta University of Applied Sciences; Suleyman Demirel University</t>
  </si>
  <si>
    <t>Ekinci, K (corresponding author), Isparta Univ Appl Sci, Fac Agr, Dept Agr Machinery &amp; Technol Engn, TR-32260 Isparta, Turkey.</t>
  </si>
  <si>
    <t>kamilekinci@isparta.edu.tr</t>
  </si>
  <si>
    <t>Ozgonen Ozkaya, Hulya/GPG-1311-2022</t>
  </si>
  <si>
    <t>BITRAK, Necati Berk/0000-0002-6822-3564</t>
  </si>
  <si>
    <t>0014-0309</t>
  </si>
  <si>
    <t>1439-0302</t>
  </si>
  <si>
    <t>Erwerbs-Obstbau</t>
  </si>
  <si>
    <t>Horticulture</t>
  </si>
  <si>
    <t>TU9EJ</t>
  </si>
  <si>
    <t>WOS:000654219800001</t>
  </si>
  <si>
    <t>Source identification of heavy metals and arsenic in biodegradable fractions of municipal solid waste: a case study of Izmir metropolitan city</t>
  </si>
  <si>
    <t>This case study aims to identify the sources of natural and anthropogenic As and heavy metals (HMs) in biodegradable wastes to develop controls on waste properties for efficient operation of biochemical waste treatment systems and better end product quality. Biodegradable waste from different income levels was sieved into seven size fractions (B-MSW), acid digested and their metal content was determined by ICP-OES. The data on the level and loads of As and HMs in the waste were statistically investigated to identify their sources. Metals' concentrations were well correlated (p &lt;= 0.001), and below established limits for thermal and biological processing of B-MSW. Metal sources identified in B-MSW linked to agricultural activities, constituting 68.1% of the total variance; soil geochemistry (25.5%) &gt; phosphate fertilizers (20.3%) &gt; agricultural chemicals (14.2%) &gt; irrigation water (8.1%). The effect of solid fuel residues (11.3%), metals and plastics (7.5%) and Al-Mn alloy cans (6.3%) in mixed collected waste accounts for 25.1% of the total variance. Improvements in regulatory controls for protection of irrigation water quality and restrictions on the use of fertilizers and agrochemicals will reduce HM loads in the B-MSW. In addition, we recommended applying a source-segregated MSW collection to avoid cross-contamination of biodegradable materials to achieve high product quality and reduced emissions.</t>
  </si>
  <si>
    <t>10.1007/s10163-021-01329-x</t>
  </si>
  <si>
    <t>Akinci, G; Ozuysal, A</t>
  </si>
  <si>
    <t>Akinci, Gorkem; Ozuysal, Aysenur</t>
  </si>
  <si>
    <t>Heavy metals; Biodegradable waste; Source identification; Phosphate fertilizers; Agrochemicals; Cross-contamination</t>
  </si>
  <si>
    <t>SEQUENTIAL EXTRACTION; WESTERN ANATOLIA; TRACE-ELEMENTS; CONTAMINATION; VEGETABLES; TURKEY; SOIL; PLANT; ACCUMULATION; REGION</t>
  </si>
  <si>
    <t>[Akinci, Gorkem; Ozuysal, Aysenur] Dokuz Eylul Univ, Engn Fac, Dept Environm Engn, Tinaztepe Campus, TR-35390 Izmir, Turkey</t>
  </si>
  <si>
    <t>Dokuz Eylul University</t>
  </si>
  <si>
    <t>Akinci, G (corresponding author), Dokuz Eylul Univ, Engn Fac, Dept Environm Engn, Tinaztepe Campus, TR-35390 Izmir, Turkey.</t>
  </si>
  <si>
    <t>gorkem.akinci@deu.edu.tr; aysenur.bolukbas@deu.edu.tr</t>
  </si>
  <si>
    <t>Ozuysal, Aysenur/P-1048-2019; AKINCI, GORKEM/W-4240-2017</t>
  </si>
  <si>
    <t>Ozuysal, Aysenur/0000-0002-2863-7201; AKINCI, GORKEM/0000-0001-6288-3812</t>
  </si>
  <si>
    <t>Dokuz Eylul University Research Fund [KB.FEN.036]; Izmir, Turkey</t>
  </si>
  <si>
    <t>Dokuz Eylul University Research Fund(Dokuz Eylul University); Izmir, Turkey</t>
  </si>
  <si>
    <t>This work was supported by the Dokuz Eylul University Research Fund [Grant number: 2014.KB.FEN.036], Izmir, Turkey.</t>
  </si>
  <si>
    <t>YE3QH</t>
  </si>
  <si>
    <t>WOS:000721488100001</t>
  </si>
  <si>
    <t>Optical percolation and oxygen diffusion in poly(divinylbenzene) doped poly(methyl methacrylate) latex flms</t>
  </si>
  <si>
    <t>A simple fluorescence technique is proposed for the measurement of the diffusion coefficient of oxygen into poly(methyl methacrylate) (PMMA) latex-poly(divinylbenzene) (PDVB) composite films. Percolation model was used by using photon transmission (PT) technique to interpret the distribution of PDVB particles in PMMA lattice. Optical results were interpreted according to site percolation theory. The optical percolation threshold value and critical exponent were calculated as, Rc = 0.03 and, beta = 0.34, respectively. PT measurements were performed for eight different PDVB content (0, 1.5, 3, 5, 10, 20, 40, and 60) wt%. Pyrene (P) functionalized PDVB cross-linked spherical microspheres with diameters of 2.5 mu m were synthesized by using precipitation polymerization technique followed by click coupling reaction. The diameter of the PMMA particles prepared by emulsion polymerization was in the range of 0.50.7 mu m. PMMA/PDVB composite films were then prepared by physically blending of PMMA latex with PDVB microspheres at various compositions. The steady-state fluorescence method was used to monitor oxygen diffusion into these (0, 5, 10, 20, and 40 wt%) latex films. Diffusion coefficients, D, of oxygen were determined by the fluorescence quenching method by assuming Fickian transport and were found to be increased from 1.8 x 10-11 to 36.6 x 10-11 cm2 s-1 with increasing PDVB content. This increase in D values was explained with formation of microvoids in the film by using PT technique. POLYM. COMPOS., 2013. (c) 2012 Society of Plastics Engineers</t>
  </si>
  <si>
    <t>10.1002/pc.22377</t>
  </si>
  <si>
    <t>Yargi, O</t>
  </si>
  <si>
    <t>Yargi, O.</t>
  </si>
  <si>
    <t>VINYL GROUPS; FILMS; FLUORESCENCE; HYDROBROMINATION</t>
  </si>
  <si>
    <t>Yildiz Tech Univ, Dept Phys, TR-34210 Istanbul, Turkey</t>
  </si>
  <si>
    <t>Yargi, Onder/AAB-7466-2021</t>
  </si>
  <si>
    <t>Yargi, Onder/0000-0001-6343-0057</t>
  </si>
  <si>
    <t>057GM</t>
  </si>
  <si>
    <t>WOS:000312551000007</t>
  </si>
  <si>
    <t>ASSESSMENT OF CRACK INITIATION AND PROPAGATION IN BONE USING ACOUSTIC EMISSION (AE) TECHNIQUES</t>
  </si>
  <si>
    <t>Acoustic emission (AE) is a nondestructive testing (NDT) technique used for detecting damages, cracks, and leaks in different structures such as metals, composites, wood, fiberglass, ceramics, plastics, etc. In recent years, AE has gained popularity within the field of biomedical applications. The structure of bone is similar to composite materials, therefore, it is advantageous to use NDT technique. Thus, it can be used for monitoring the fracture behavior, crack initiation/propagation, and fatigue detection in bones. The goal of this study was to determine the usefulness of AE techniques in fracture detection phase of bones and to develop an NDT methodology for the monitoring of crack initiation and propagation in bones. This study describes AE activity during fracture of bone tissue under tensile loads. The experiments were carried out in vitro techniques using intact and fracture-simulated bovine tibias. The specimens were loaded to failure in tension using a mechanical testing machine. During the mechanical tests, AE signals were measured and recorded by using AE system processor equipped with two wideband piezoelectric sensors fixed to the surfaces of both ends of the test specimens. By superposing the load-time curve and the cumulative AE event-time curve, AE activities of crack initiation and propagation were identified. In all experiments, the cumulative AE number for each period of time rose up exponentially with the incremental tensile load. Load for AE initiation demonstrated a convincing linear interaction with AE event generation.</t>
  </si>
  <si>
    <t>10.1142/S0219519418500318</t>
  </si>
  <si>
    <t>Karaduman, D; Bircan, DA; Cetin, A</t>
  </si>
  <si>
    <t>Karaduman, Deniz; Bircan, Durmus Ali; Cetin, Ahmet</t>
  </si>
  <si>
    <t>JOURNAL OF MECHANICS IN MEDICINE AND BIOLOGY</t>
  </si>
  <si>
    <t>Acoustic emission; nondestructive testing; crack initiation and propagation; bone fracture detection; biomechanics</t>
  </si>
  <si>
    <t>FRACTURE</t>
  </si>
  <si>
    <t>[Karaduman, Deniz; Bircan, Durmus Ali; Cetin, Ahmet] Cukurova Univ, Dept Mech Engn, TR-01330 Adana, Balcah, Turkey</t>
  </si>
  <si>
    <t>Bircan, DA (corresponding author), Cukurova Univ, Dept Mech Engn, TR-01330 Adana, Balcah, Turkey.</t>
  </si>
  <si>
    <t>deniz313@gmail.com; abircan@cukurova.edu.tr; ahmetcetin@cu.edu.tr</t>
  </si>
  <si>
    <t>Bircan, Durmus Ali/I-9855-2018</t>
  </si>
  <si>
    <t>Bircan, Durmus Ali/0000-0002-9430-4587; CETIN, Ahmet/0000-0003-1393-3806</t>
  </si>
  <si>
    <t>Cukurova University Scientific Research Department [FYL 20166515]</t>
  </si>
  <si>
    <t>Cukurova University Scientific Research Department</t>
  </si>
  <si>
    <t>This study was funded by Cukurova University Scientific Research Department under the Project No. FYL 20166515. The authors also wish to thank Dursun DOGER (Executive of Tekprom Uygunluk Degerlendirme ve Gozetim Hizm.Ltd.Sti.) for supplying AE processor system and other instruments in AET.</t>
  </si>
  <si>
    <t>WORLD SCIENTIFIC PUBL CO PTE LTD</t>
  </si>
  <si>
    <t>SINGAPORE</t>
  </si>
  <si>
    <t>5 TOH TUCK LINK, SINGAPORE 596224, SINGAPORE</t>
  </si>
  <si>
    <t>0219-5194</t>
  </si>
  <si>
    <t>1793-6810</t>
  </si>
  <si>
    <t>J MECH MED BIOL</t>
  </si>
  <si>
    <t>J. Mech. Med. Biol.</t>
  </si>
  <si>
    <t>Biophysics; Engineering, Biomedical</t>
  </si>
  <si>
    <t>Biophysics; Engineering</t>
  </si>
  <si>
    <t>GH0LJ</t>
  </si>
  <si>
    <t>WOS:000433093400010</t>
  </si>
  <si>
    <t>Preparation, Characterization, and Separation Performances of Novel Surface Modified LbL Composite Membranes from Polyelectrolyte Blends and MWCNT</t>
  </si>
  <si>
    <t>Here, it was aimed to modify the surface of NF90 with layer by layer (LbL) blended poly(allylamine hydrochloride) (PAH)-chitosan (CHI) and poly(acrylic acid) (PAA) with/without functionalized multiwalled carbon nanotube (fMWCNT) for reverse-osmosis applications. Using Quartz Crystal Microbalance Dissipation monitoring, it was observed that PAH-CHI/PAA LbL films grew linearly after a few bilayers and no LbL film degradation occurred during synthetic seawater treatment. Thermal degradation of all LbL blended membranes was similar. NF90 had a heterogeneous surface while the surface of LbL blend membranes exhibited some agglomerations due to the polyelectrolyte (PE) complex formation and fibrillary appearance depending on the use of fMWCNT. [(PAH50-CHI50/(PAA-fMWCNT)](30) indicated the highest flux with 14.5 L m(2) h(-1) at 40 bar. The sodium and chlorine ion rejections were 75% and 87%, respectively, for the same membrane. The use of fMWCNT led to a significant enhancement in flux with a slight decay in ion rejections. On the other hand, chlorine ion rejection of [(PAH50-CHI50/(PAA-fMWCNT)](30) decreased by 25% at 40 bar while 60 and 90 bilayers of [(PAH50-CHI50/(PAA-fMWCNT)] disintegrated after NaOCl treatment. Briefly, the flux and ion rejections of the LbL blended membranes can be controlled depending on the use of fMWCNT and different PE couples without multilayer decomposition against synthetic seawater. POLYM. ENG. SCI., 2019. (c) 2019 Society of Plastics Engineers</t>
  </si>
  <si>
    <t>10.1002/pen.25289</t>
  </si>
  <si>
    <t>Arslan, M; Donmez, G; Ergun, A; Okutan, M; Ari, GA; Deligoz, H</t>
  </si>
  <si>
    <t>Arslan, Merve; Donmez, Goknur; Ergun, Ayca; Okutan, Merve; Ari, Gulsen Albayrak; Deligoz, Huseyin</t>
  </si>
  <si>
    <t>METALLOCENE POLYETHYLENE; POLY(PHENYL ACRYLATE); MULTILAYER MEMBRANES; OSMOSIS MEMBRANE; CARBON NANOTUBES; GRAPHENE OXIDE; BINARY BLENDS; THIN-FILMS; LAYER; POLY(STYRENE-CO-ACRYLONITRILE)</t>
  </si>
  <si>
    <t>[Arslan, Merve; Donmez, Goknur; Ergun, Ayca; Ari, Gulsen Albayrak; Deligoz, Huseyin] Istanbul Univ Cerrahpasa, Engn Fac, Dept Chem Engn, TR-34320 Istanbul, Turkey; [Okutan, Merve] Hitit Univ, Engn Fac, Dept Chem Engn, TR-19030 Corum, Turkey</t>
  </si>
  <si>
    <t>Istanbul University - Cerrahpasa; Hitit University</t>
  </si>
  <si>
    <t>Deligoz, H (corresponding author), Istanbul Univ Cerrahpasa, Engn Fac, Dept Chem Engn, TR-34320 Istanbul, Turkey.</t>
  </si>
  <si>
    <t>DÖNMEZ, Göknur/C-9463-2019; Okutan, Merve/AAO-9499-2021; Arı, Gülşen Albayrak/D-6372-2019; ERGÜN, AYÇA/AAH-1556-2019</t>
  </si>
  <si>
    <t>DÖNMEZ, Göknur/0000-0001-6639-7029; Okutan, Merve/0000-0002-3110-0675; Arı, Gülşen Albayrak/0000-0001-9890-518X; ERGÜN, AYÇA/0000-0003-3183-3729; Deligoz, Huseyin/0000-0002-0915-2911</t>
  </si>
  <si>
    <t>NOV 2019</t>
  </si>
  <si>
    <t>KE1KJ</t>
  </si>
  <si>
    <t>WOS:000498482900001</t>
  </si>
  <si>
    <t>Adhesively-bonded joints and repairs in metallic alloys, polymers and composite materials: Adhesives, adhesion theories and surface pretreatment</t>
  </si>
  <si>
    <t>In the present paper, the following topics are reviewed in detail: (a) the available adhesives, as well as their recent advances, (b) thermodynamic factors affecting the surface pretreatments including adhesion theories, wettability, surface energy, (c) bonding mechanisms in the adhesive joints, (d) surface pretreatment methods for the adhesively bonded joints, and as well as their recent advances, and (e) combined effects of surface pretreatments and environmental conditions on the joint durability and performance. Surface pretreatment is, perhaps, the most important process step governing the quality of an adhesively bonded joint. An adhesive is defined as a polymeric substance with viscoelastic behavior, capable of holding adherends together by surface attachment to produce a joint with a high shear strength. Adhesive bonding is the most suitable method of joining both for metallic and non-metallic structures where strength, stiffness and fatigue life must be maximized at a minimum weight. Polymeric adhesives may be used to join a large variety of materials combinations including metal-metal, metal-plastic, metal-composite, composite-composite, plastic-plastic, metal-ceramic systems. Wetting and adhesion are also studied in some detail in the present paper since the successful surface pretreatments of the adherends for the short- and long-term durability and performance of the adhesive joints mostly depend on these factors. Wetting of the adherends by the adhesive is critical to the formation of secondary bonds in the adsorption theory. It has been theoretically verified that for complete wetting (i.e., for a contact angle. equal to zero), the surface energy of the adhesive must be lower than the surface energy of the adherend. Therefore, the primary objective of a surface pretreatment is to increase the surface energy of the adherend as much as possible. The influence of surface pretreatment and aging conditions on the short- and long-term strength of adhesive bonds should be taken into account for durability design. Some form of substrate pretreatment is always necessary to achieve a satisfactory level of long-term bond strength. In order to improve the performance of adhesive bonds, the adherends surfaces (i.e., metallic or non-metallic) are generally pretretead using the (a) physical, (b) mechanical, (c) chemical, (d) photochemical, (e) thermal, or (e) plasma method. Almost all pretreatment methods do bring some degree of change in surface roughness but mechanical surface pretreatment such as grit-blasting is usually considered as one of the most effective methods to control the desired level of surface roughness and joint strength. Moreover, the overall effect of mechanical surface treatment is not limited to the removal of contamination or to an increase in surface area. This also relates to changes in the surface chemistry of adherends and to inherent drawbacks of surface roughness, such as void formations and reduced wetting. Suitable surface pretreatment increases the bond strength by altering the substrate surface in a number of ways including (a) increasing surface tension by producing a surface free from contaminants (i.e., surface contamination may cause insufficient wetting by the adhesive in the liquid state for the creating of a durable bond) or removal of the weak cohesion layer or of the pollution present at the surface, (b) increasing surface roughness on changing surface chemistry and producing of a macro/microscopically rough surface, (c) production of a fresh stable oxide layer, and (d) introducing suitable chemical composition of the oxide, and (e) introduction of new or an increased number of chemical functions. All these parameters can contribute to an improvement of the wettability and/or of the adhesive properties of the surface. (C) 2004 Kluwer Academic Publishers.</t>
  </si>
  <si>
    <t>10.1023/B:JMSC.0000007726.58758.e4</t>
  </si>
  <si>
    <t>Baldan, A</t>
  </si>
  <si>
    <t>PRESSURE-SENSITIVE ADHESIVES; CORONA-DISCHARGE TREATMENT; EPOXY-RESIN; ANAEROBIC ADHESIVES; PLASMA TREATMENT; VISCOELASTIC MATERIALS; MECHANICAL-PROPERTIES; FAILURE MECHANISMS; ALUMINUM JOINTS; ELASTIC SOLIDS</t>
  </si>
  <si>
    <t>Univ Mersin, Dept Met &amp; Mat Engn, Mersin, Turkey</t>
  </si>
  <si>
    <t>Baldan, A (corresponding author), Univ Mersin, Dept Met &amp; Mat Engn, Mersin, Turkey.</t>
  </si>
  <si>
    <t>abaldan@mersin.edu.tr</t>
  </si>
  <si>
    <t>karabay, ferda/HGB-9804-2022</t>
  </si>
  <si>
    <t>752QQ</t>
  </si>
  <si>
    <t>WOS:000187179000001</t>
  </si>
  <si>
    <t>Current-voltage (I-V) characteristics of armchair graphene nanoribbons under uniaxial strain</t>
  </si>
  <si>
    <t>The current-voltage characteristics of armchair graphene nanoribbons under a local uniaxial tension are investigated by using first-principles quantum transport calculations. It is shown that for a given value of bias voltage, the resulting current depends strongly on the applied tension. The observed trends are explained by means of changes in the band gaps of the nanoribbons due to the applied uniaxial tension. In the course of plastic deformation, the irreversible structural changes and derivation of carbon monatomic chains from graphene pieces can be monitored by two-probe transport measurements.</t>
  </si>
  <si>
    <t>10.1103/PhysRevB.81.205437</t>
  </si>
  <si>
    <t>Topsakal, M; Bagci, VMK; Ciraci, S</t>
  </si>
  <si>
    <t>Topsakal, M.; Bagci, V. M. K.; Ciraci, S.</t>
  </si>
  <si>
    <t>PHYSICAL REVIEW B</t>
  </si>
  <si>
    <t>TRANSISTORS; GAS</t>
  </si>
  <si>
    <t>[Topsakal, M.; Ciraci, S.] Bilkent Univ, UNAM Inst Mat Sci &amp; Nanotechnol, TR-06800 Ankara, Turkey; [Bagci, V. M. K.] Acad Sinica, Res Ctr Appl Sci, Taipei 115, Taiwan; [Ciraci, S.] Bilkent Univ, Dept Phys, TR-06800 Ankara, Turkey</t>
  </si>
  <si>
    <t>Ihsan Dogramaci Bilkent University; Academia Sinica - Taiwan; Ihsan Dogramaci Bilkent University</t>
  </si>
  <si>
    <t>Topsakal, M (corresponding author), Bilkent Univ, UNAM Inst Mat Sci &amp; Nanotechnol, TR-06800 Ankara, Turkey.</t>
  </si>
  <si>
    <t>ciraci@fen.bilkent.edu.tr</t>
  </si>
  <si>
    <t>Topsakal, Mehmet/A-5015-2010</t>
  </si>
  <si>
    <t>Topsakal, Mehmet/0000-0002-7880-0740; Ciraci, Salim/0000-0001-8023-9860</t>
  </si>
  <si>
    <t>Academy of Science of Turkey (TUBA)</t>
  </si>
  <si>
    <t>Academy of Science of Turkey (TUBA)(Turkish Academy of Sciences)</t>
  </si>
  <si>
    <t>Part of the computations have been provided by UYBHM at Istanbul Technical University through a Grant No. 2-024-2007. S. C. acknowledges financial support from The Academy of Science of Turkey (TUBA).</t>
  </si>
  <si>
    <t>AMER PHYSICAL SOC</t>
  </si>
  <si>
    <t>COLLEGE PK</t>
  </si>
  <si>
    <t>ONE PHYSICS ELLIPSE, COLLEGE PK, MD 20740-3844 USA</t>
  </si>
  <si>
    <t>2469-9950</t>
  </si>
  <si>
    <t>2469-9969</t>
  </si>
  <si>
    <t>PHYS REV B</t>
  </si>
  <si>
    <t>Phys. Rev. B</t>
  </si>
  <si>
    <t>Materials Science, Multidisciplinary; Physics, Applied; Physics, Condensed Matter</t>
  </si>
  <si>
    <t>602MX</t>
  </si>
  <si>
    <t>WOS:000278144500113</t>
  </si>
  <si>
    <t>Monitoring the fatigue-induced damage evolution in ultrafine-grained interstitial-free steel utilizing digital image correlation</t>
  </si>
  <si>
    <t>The digital image correlation (DIC) technique was successfully utilized to detect fatigue-induced damage and monitor its evolution in ultrafine-grained interstitial-free steels of three different microstructures in the low-cycle fatigue regime. Specifically, visualization of strain localization with DIC allows for detecting the crack initiation sites after only a few cycles into the deformation. Furthermore, optical microscopy, atomic force microscopy and electron backscatter diffraction analyses revealed a direct correlation between elongated grains and the crack initiation sites. The results of a crystal plasticity model demonstrated that higher overall stresses are prevalent in the microstructures with elongated grains, which is attributed to strain localizations, and corresponding stress concentrations responsible for crack initiation. Overall, the current findings show that DIC is a novel and promising non-destructive technique for determining the crack initiation sites at the very early stages of cyclic deformation. (C) 2009 Elsevier B.V. All rights reserved.</t>
  </si>
  <si>
    <t>10.1016/j.msea.2009.04.053</t>
  </si>
  <si>
    <t>Niendorf, T; Dadda, J; Canadinc, D; Maier, HJ; Karaman, I</t>
  </si>
  <si>
    <t>Niendorf, T.; Dadda, J.; Canadinc, D.; Maier, H. J.; Karaman, I.</t>
  </si>
  <si>
    <t>Digital image correlation; Fatigue; Ultrafine-grained material; Visco-plastic self-consistent modeling; Non-destructive testing</t>
  </si>
  <si>
    <t>SEVERE PLASTIC-DEFORMATION; STRAIN-RATE SENSITIVITY; CRACK-GROWTH; MECHANICAL-PROPERTIES; HADFIELD STEEL; SINGLE-CRYSTALS; METALS; COPPER; ALUMINUM; ALLOYS</t>
  </si>
  <si>
    <t>[Niendorf, T.; Dadda, J.; Maier, H. J.] Univ Paderborn, Lehrstuhl Werkstoffkunde Mat Sci, D-33095 Paderborn, Germany; [Canadinc, D.] Koc Univ, Dept Mech Engn, TR-34450 Istanbul, Turkey; [Karaman, I.] Texas A&amp;M Univ, Dept Mech Engn, College Stn, TX 77843 USA</t>
  </si>
  <si>
    <t>University of Paderborn; Koc University; Texas A&amp;M University System; Texas A&amp;M University College Station</t>
  </si>
  <si>
    <t>Niendorf, T (corresponding author), Univ Paderborn, Lehrstuhl Werkstoffkunde Mat Sci, D-33095 Paderborn, Germany.</t>
  </si>
  <si>
    <t>niendorf@mail.uni-paderborn.de</t>
  </si>
  <si>
    <t>Karaman, Ibrahim/E-7450-2010; Dadda, Jayaram/F-7566-2011; Niendorf, Thoralf/H-7738-2013</t>
  </si>
  <si>
    <t>Karaman, Ibrahim/0000-0001-6461-4958; Dadda, Jayaram/0000-0002-8577-259X; Niendorf, Thoralf/0000-0001-7584-6527; Niendorf, Thomas/0000-0003-2622-5817; Canadinc, Demircan/0000-0001-9961-7702; Maier, H. J./0000-0003-2119-824X</t>
  </si>
  <si>
    <t>Deutsche Forschungsgemeinschaft; National Science Foundation [CMMI 01-34554]; Materials and Surface Engineering Program, Directorate of Engineering, Arlington, VA</t>
  </si>
  <si>
    <t>Deutsche Forschungsgemeinschaft(German Research Foundation (DFG)); National Science Foundation(National Science Foundation (NSF)); Materials and Surface Engineering Program, Directorate of Engineering, Arlington, VA</t>
  </si>
  <si>
    <t>The German part of this study was supported by Deutsche Forschungsgemeinschaft, within the Research Unit Program 'Mechanische Eigenschaften und Grenzflachen ultrafeinkorniger Werkstoffe'. Numerical analyses were carried out on a workstation provided by the College of Engineering at Koc University. D.C. acknowledges the help of Mr. Sabin Top with the schematic of Fig. 8. The U.S. part of the work was supported by the National Science Foundation, contract no. CMMI 01-34554, Materials and Surface Engineering Program, Directorate of Engineering, Arlington, VA.</t>
  </si>
  <si>
    <t>AUG 20</t>
  </si>
  <si>
    <t>480TX</t>
  </si>
  <si>
    <t>WOS:000268760800032</t>
  </si>
  <si>
    <t>FATE OF THE FACE MASKS IN THE ENVIRONMENT AFFECT HUMAN AND WILDLIFE: TONS OF FACE MASKS ARE NEW SOURCE FOR THE ENDOCRINE DISRUPTING CHEMICALS</t>
  </si>
  <si>
    <t>COVID-19 pandemic has become a major public health problem affecting the lives of billions of people worldwide. There is an effective vaccine treatment for the coronavirus infection, but self-isolation and self-protection are the important options to stop the spread of the virus. Usage of the surgical and other face masks are must during COVID-19 pandemic and millions of used masks are accumulating as trash in the environment every day worldwide. Face masks are made of plastic materials mainly polypropylene which is categorized as endocrine disruptor affecting both humans and wildlife. Contamination of face masks to soil, oceans, sea and air may have increased the amount of microplastics concentration and these microplastics from the face masks may have various negative effects on the environment. However, what needs to be done to protect the environment and public health is to dispose of these masks in a very convenient way. Therefore, accurate elimination and collection of used face masks from the environment should be considered to protect our world. Nowadays there are different types of vaccines are in the protecting against death, hospitalization and seriousness of the COVID-19 infection but using face masks are simple, seems safe and effective way from protection against the disease. In this review, we aimed to draw attention to the fact that a using a face mask is very important for staying safe, but they may cause environmental pollution and have adverse effects on directly health and environment.</t>
  </si>
  <si>
    <t>10.30621/jbachs.869552</t>
  </si>
  <si>
    <t>Aydemir, D; Ulusu, NN</t>
  </si>
  <si>
    <t>Aydemir, Duygu; Ulusu, Nuriye Nuray</t>
  </si>
  <si>
    <t>JOURNAL OF BASIC AND CLINICAL HEALTH SCIENCES</t>
  </si>
  <si>
    <t>COVID-19; pandemic; endocrine disruptors; face masks</t>
  </si>
  <si>
    <t>ANTIOXIDANT ENZYME-ACTIVITIES; GLUTATHIONE-REDUCTASE; GLUCOSE-6-PHOSPHATE-DEHYDROGENASE; DEFICIENCY; CALCIUM; BUTYLPARABEN; ACCUMULATION; INHIBITION; ALUMINUM; SELENIUM</t>
  </si>
  <si>
    <t>[Aydemir, Duygu; Ulusu, Nuriye Nuray] Koc Univ, Sch Med, Dept Med Biochem, Istanbul, Turkey; [Aydemir, Duygu; Ulusu, Nuriye Nuray] Koc Univ, Res Ctr Translat Med KUTTAM, Istanbul, Turkey</t>
  </si>
  <si>
    <t>Koc University; Koc University</t>
  </si>
  <si>
    <t>Ulusu, NN (corresponding author), Koc Univ, Sch Med, Dept Med Biochem, Istanbul, Turkey.;Ulusu, NN (corresponding author), Koc Univ, Res Ctr Translat Med KUTTAM, Istanbul, Turkey.</t>
  </si>
  <si>
    <t>nulusu@ku.edu.tr</t>
  </si>
  <si>
    <t>Ulusu, Nuray Nuriye/0000-0002-3173-1389; Aydemir, Duygu/0000-0002-6449-2708</t>
  </si>
  <si>
    <t>DOKUZ EYLUL UNIV INST HEALTH SCIENCES</t>
  </si>
  <si>
    <t>IZMIR</t>
  </si>
  <si>
    <t>DEPT MEDICAL BIOCHEMISTRY, FAC MEDICINE, DOKUZ EYLUL UNIV, IZMIR, TURKEY</t>
  </si>
  <si>
    <t>2458-8938</t>
  </si>
  <si>
    <t>2564-7288</t>
  </si>
  <si>
    <t>J BASIC CLIN HEALTH</t>
  </si>
  <si>
    <t>J. Basic Clin. Health Sci.</t>
  </si>
  <si>
    <t>Health Care Sciences &amp; Services</t>
  </si>
  <si>
    <t>2A7HB</t>
  </si>
  <si>
    <t>WOS:000809667400040</t>
  </si>
  <si>
    <t>The effects of Broilact (R) on performance and feed digestibility of broilers</t>
  </si>
  <si>
    <t>This experiment was conducted using male broiler chicks to determine the effects of competitive exclusion and/or Zn bacitracin on performance, intestinal pH, fecal dry matter and feed digestibility. Day-old chicks were divided into four treatments with 60 broilers in each group. The groups are control, Zn bacitracin, Broilact(R) and Broilact(R) with Zn bacitracin. The basal diets were manufactured under commercial conditions as one batch, divided into respective parts then supplemented with the Zn bacitracin (100 mg/kg). The CE product Broilact(R) was diluted in drinking water that was given 1 mg per day old chick by oral administration. Body weight gain and feed consumption were monitored weekly. In experiment 5 broilers per group (20 broilers per treatment) were selected, at the age of 9 to 15 d and 29 to 35 d, faces was collected from the plates or plastic covers placed under the cages. In study 5 broilers per group were killed 15 d and 35 d of age and then the intestinal contents were collected for pH value. The Broilact(R) improved on the broilers growth rate performance improvemently, although the difference was not significant. Broilact(R) treatments increased the fecal dry matter content but the difference was not significant. The pH of the ileum and ceca at 15 d of age in the two Broilact(R) treatments were significantly higher than the other groups (P &lt; 0.05). At the end of the experiment, total digestibility at 35 d of age in the group treated with only Broilact(R) was significantly higher than the other groups (P &lt; 0.05).</t>
  </si>
  <si>
    <t>Bilal, T; Ozpinar, H; Kutay, C; Eseceli, H; Abas, I</t>
  </si>
  <si>
    <t>ARCHIV FUR GEFLUGELKUNDE</t>
  </si>
  <si>
    <t>broiler; nutrition; Broilact (R); Zn-bacitracin; performance; intestinal pH; feed digestibility</t>
  </si>
  <si>
    <t>COMPETITIVE-EXCLUSION; SALMONELLA</t>
  </si>
  <si>
    <t>Univ Istanbul, Fac Med Vet, Dept Anim Nutr &amp; Nutr Dis, TR-34851 Avcilar Istanbul, Turkey</t>
  </si>
  <si>
    <t>Ozpinar, H (corresponding author), Univ Istanbul, Fac Med Vet, Dept Anim Nutr &amp; Nutr Dis, TR-34851 Avcilar Istanbul, Turkey.</t>
  </si>
  <si>
    <t>Eseceli, Hüseyin/S-8556-2016; OZPINAR, HAYDAR/GWQ-7959-2022; BILAL, TANAY/AAB-5566-2021; Abas, Ismail/F-6087-2011</t>
  </si>
  <si>
    <t>Eseceli, Hüseyin/0000-0002-5912-5479; OZPINAR, HAYDAR/0000-0002-8044-1409; BILAL, TANAY/0000-0001-7258-6862; Abas, Ismail/0000-0003-2850-6452</t>
  </si>
  <si>
    <t>EUGEN ULMER GMBH CO</t>
  </si>
  <si>
    <t>STUTTGART 70</t>
  </si>
  <si>
    <t>POSTFACH 700561 WOLLGRASWEG 41, W-7000 STUTTGART 70, GERMANY</t>
  </si>
  <si>
    <t>0003-9098</t>
  </si>
  <si>
    <t>ARCH GEFLUGELKD</t>
  </si>
  <si>
    <t>Arch. Geflugelkd.</t>
  </si>
  <si>
    <t>327DC</t>
  </si>
  <si>
    <t>WOS:000087777100007</t>
  </si>
  <si>
    <t>Film formation from PS/AL2O3 nanocomposites prepared by dip-drawing method</t>
  </si>
  <si>
    <t>In this study, steady state fluorescence (SSF) and UVvis (UVV) techniques were used to examine film formation from pyrene (P) labeled polystyrene (PS) latex/Al2O3 (PS/Al2O3) composites prepared by the dip-drawing method. The effects of dip-drawing rates and dipping time in Al2O3 sol on film formation behavior and the morphology of PS/Al2O3 films were investigated. Films were prepared first by casting PS dispersion on clean glass substrates which creates a close-packed array of PS sphere (203 nm) templates. These templates were then covered with Al2O3 utilizing the dip-drawing method for various dip-drawing rates and dipping times in Al2O3 sol. The film formation of these composites was studied by annealing them at a temperature range of 100 degrees C to 270 degrees C and monitoring the scattered light (Isc), fluorescence (IP), and transmitted light (Itr) intensities after each annealing step. The structural properties of the composite films were analyzed with a scanning electron microscope (SEM). The results demonstrated that the film formation behavior and morphology of composites depended mainly on dipping time, and no dependence on the dip-drawing rate was observed. The optical results indicated that PS/Al2O3 films undergo complete film formation independent of the dip-drawing rate and dipping time. Additionally, the film formation stages were modeled and the corresponding activation energies were determined. After completion of film formation, PS polymers were extracted to obtain porous Al2O3 thin films. Highly ordered porous structures were observed for long dipping time in Al2O3 sol but no change was observed for different dip-drawing rates, confirming the optical data. POLYM. COMPOS., 2012. (c) 2012 Society of Plastics Engineers</t>
  </si>
  <si>
    <t>10.1002/pc.22252</t>
  </si>
  <si>
    <t>Ugur, S; Kislak, Y</t>
  </si>
  <si>
    <t>Ugur, Saziye; Kislak, Yusuf</t>
  </si>
  <si>
    <t>PHOTONIC CRYSTALS; POLYSTYRENE PARTICLES; ACRYLIC LATICES; SURFACTANT-FREE; VOID CLOSURE; FLUORESCENCE; INTERDIFFUSION; DIFFUSION; ALUMINA; ELLIPSOMETRY</t>
  </si>
  <si>
    <t>[Ugur, Saziye; Kislak, Yusuf] Istanbul Tech Univ, Dept Phys, TR-34469 Istanbul, Turkey</t>
  </si>
  <si>
    <t>973KU</t>
  </si>
  <si>
    <t>WOS:000306359800003</t>
  </si>
  <si>
    <t>THERMAL AND MECHANICAL-PROPERTIES OF CELLULAR POLYSTYRENE AND POLYURETHANE INSULATION MATERIALS AGED ON A FLAT ROOF IN HOT-DRY CLIMATE</t>
  </si>
  <si>
    <t>Cellular polymers, which have been increasingly used for thermal insulation of external walls and roofs since the 1970s, degrade in some cases. The heat transmission of a cellular polymer insulator, the k value, is predominantly dependent on the heat conduction of the air or gas remaining in the cells. An insulator may be aged and start transmitting more energy due to replacement of cell content with different gases or moisture or both, changes in size, softening and creeping under pressure and heat, or penetration of water or mineral particles into cells, or a combination thereof. The solid face also degrades due to ultraviolet light, heat and atmospheric oxygen. A research project' was carried out from January 1988 to December 1991 to investigate the performance of flat roofs, waterproofing, and thermal insulation materials in the hot-dry climatic region of Saudi Arabia. In this context a field station was built and operated for weathering of roofing and insulation materials and for monitoring the surface and the inner temperatures of the applied roof systems. Basically, two types of cellular polymers, expanded polystyrene and foamed polyurethane, were installed on the roof of the station for insulation. Specimens taken from the fresh, stored, and weathered polystyrene and polyurethane foams were tested to evaluate them according to the selected properties of thermal conductivity, compressive strength at relative deformation, and dimensional stability at elevated temperature. The test results were compared with the requirements presented in the literature and the standard specifications.</t>
  </si>
  <si>
    <t>OZKAN, E</t>
  </si>
  <si>
    <t>JOURNAL OF TESTING AND EVALUATION</t>
  </si>
  <si>
    <t>CELLULAR PLASTICS; EXPANDED POLYSTYRENE; EXTRUDED POLYSTYRENE; FOAMED POLYURETHANE; THERMAL INSULATION; THERMAL CONDUCTIVITY (K); COMPRESSION TEST; DIMENSIONAL STABILITY COMPRESSIVE CREEP TEST; FLAT ROOF; SURFACE TEMPERATURE; NATURAL WEATHERING; AGING</t>
  </si>
  <si>
    <t>OZKAN, E (corresponding author), ISTANBUL TECH UNIV,FAC ARCHITECTURE,ISTANBUL,TURKEY.</t>
  </si>
  <si>
    <t>AMER SOC TESTING MATERIALS</t>
  </si>
  <si>
    <t>W CONSHOHOCKEN</t>
  </si>
  <si>
    <t>100 BARR HARBOR DR, W CONSHOHOCKEN, PA 19428-2959</t>
  </si>
  <si>
    <t>0090-3973</t>
  </si>
  <si>
    <t>J TEST EVAL</t>
  </si>
  <si>
    <t>J. Test. Eval.</t>
  </si>
  <si>
    <t>MZ298</t>
  </si>
  <si>
    <t>WOS:A1994MZ29800010</t>
  </si>
  <si>
    <t>Film Formation of Nano-Sized Hard Latex (PS) in Soft Polymer Matrix (PBA): An Excimer Study</t>
  </si>
  <si>
    <t>This work reports steady state fluorescence (SSF) technique for studying film formation from pyrene (P)labeled nano-sized polystyrene (PS) and poly(n-butyl acrylate) (PBA) hard/soft latex blends. Blend films were prepared from mixtures of PS and PBA in dispersion. Eight different blend films were prepared in various hard/soft latex compositions at room temperature and annealed at elevated temperatures above glass transition temperature (T(g)) of polystyerene. Monomer (I(P)) and excimer (I(E)) intensities from P was measured after each annealing step to monitor the stages of film formation. The evolution of transparency of latex films was monitored using photon transmission intensity, I(tr). Film morphologies were examined by atomic force microscopy (AFM). The results showed that as the amount of hard component (PS) in the blend is decreased, a significant change occurred in both I(E)/I(P) and I(tr) curves at a certain critical weight fraction (50 wt%) of PS hard latex. Two distinct film formation stages, which are named as void closure and interdiffusion were seen in (I(E)/I(P)) data above this fraction. However, below 50 wt% PS no film formation was observed. AFM pictures also confirmed these findings. Void closure and interdiffusion stages for (50-100) wt% range of PS were modeled and related activation energies were determined. There was no observable change in activation energies confirming that film formation behavior is not affected by varying the blend composition in this range. POLYM. COMPOS., 31:16111619, 2010. (C) 2009 Society of Plastics Engineers</t>
  </si>
  <si>
    <t>10.1002/pc.20950</t>
  </si>
  <si>
    <t>Ugur, S; Sunay, S; Pekcan, O</t>
  </si>
  <si>
    <t>Ugur, Saziye; Sunay, Selin; Pekcan, Oender</t>
  </si>
  <si>
    <t>ACRYLIC LATICES; INTERDIFFUSION PROCESSES; VOID CLOSURE; BLEND FILMS; PARTICLES; FLUORESCENCE; TEMPERATURE; MICROSCOPY; INTERFACES; DIFFUSION</t>
  </si>
  <si>
    <t>[Ugur, Saziye; Sunay, Selin] Istanbul Tech Univ, Dept Phys, TR-80626 Istanbul, Turkey; [Pekcan, Oender] Kadir Has Univ, Fac Arts &amp; Sci, TR-34230 Istanbul, Turkey</t>
  </si>
  <si>
    <t>Istanbul Technical University; Kadir Has University</t>
  </si>
  <si>
    <t>Ugur, S (corresponding author), Istanbul Tech Univ, Dept Phys, TR-80626 Istanbul, Turkey.</t>
  </si>
  <si>
    <t>TUBITAK-1001 [107T394]</t>
  </si>
  <si>
    <t>TUBITAK-1001(Turkiye Bilimsel ve Teknolojik Arastirma Kurumu (TUBITAK))</t>
  </si>
  <si>
    <t>Contract grant sponsor: TUBITAK-1001; contract grant number: 107T394.</t>
  </si>
  <si>
    <t>JOHN WILEY &amp; SONS INC</t>
  </si>
  <si>
    <t>111 RIVER ST, HOBOKEN, NJ 07030 USA</t>
  </si>
  <si>
    <t>641KJ</t>
  </si>
  <si>
    <t>WOS:000281123900013</t>
  </si>
  <si>
    <t>Marine Litter Quantification in the Black Sea: A Pilot Assessment</t>
  </si>
  <si>
    <t>Various programs and organizations (IMO, UNEP, IOC UNESCO, FAO) and recently the EU MSFD recognized marine litter (ML) as an issue of global threat from environmental, economic, human health and safety, and aesthetic aspect. Among the efforts to combat the problem adequate monitoring and application of harmonized methodological approaches for quantification are essential. This research presents the results of a pilot assessment of bottom ML in the Black Sea during the MISIS Project Joint Black Sea Cruise (22-31 August, 2013) along 3 transects in the NW Black Sea. The aim of the present study is a pilot quantitative assessment of bottom.</t>
  </si>
  <si>
    <t>10.4194/1303-2712-v16_1_22</t>
  </si>
  <si>
    <t>Moncheva, S; Stefanova, K; Krastev, A; Apostolov, A; Bat, L; Sezgin, M; Sahin, F; Timofte, F</t>
  </si>
  <si>
    <t>Moncheva, S.; Stefanova, K.; Krastev, A.; Apostolov, A.; Bat, L.; Sezgin, M.; Sahin, F.; Timofte, F.</t>
  </si>
  <si>
    <t>Marine litter; NW Black Sea; coastal seafloor; shelf seafloor; ROV survey</t>
  </si>
  <si>
    <t>PLASTIC DEBRIS; FLOOR</t>
  </si>
  <si>
    <t>[Moncheva, S.; Stefanova, K.; Krastev, A.; Apostolov, A.] BAS, Inst Oceanol, POB 152, Varna 9000, Bulgaria; [Bat, L.; Sezgin, M.; Sahin, F.] Sinop Univ, Fac Fisheries, TR-57000 Sinop, Turkey; [Timofte, F.] Natl Inst Marine Res &amp; Dev Grigore Antipa, Constana 900581, Romania</t>
  </si>
  <si>
    <t>Bulgarian Academy of Sciences; Sinop University; National Institute for Marine Research &amp; Development Grigore Antipa</t>
  </si>
  <si>
    <t>Moncheva, S (corresponding author), BAS, Inst Oceanol, POB 152, Varna 9000, Bulgaria.</t>
  </si>
  <si>
    <t>snejanam@abv.bg</t>
  </si>
  <si>
    <t>Nemlioglu, Semih/D-8722-2019; Sahin, Fatih/H-4345-2013; Timofte, Florin/GWU-8669-2022; NEMLIOGLU, SEMIH/AAH-8909-2019; BAT, Levent/N-1915-2019; Bat, Levent/I-3519-2017</t>
  </si>
  <si>
    <t>Nemlioglu, Semih/0000-0002-9938-4651; Sahin, Fatih/0000-0003-0605-2672; Timofte, Florin/0000-0003-4144-1251; BAT, Levent/0000-0002-2289-6691; Bat, Levent/0000-0002-2289-6691</t>
  </si>
  <si>
    <t>DG ENV Project MISIS [07.020400/2012/616044/SUB/D2]</t>
  </si>
  <si>
    <t>DG ENV Project MISIS</t>
  </si>
  <si>
    <t>The survey has been conducted under DG ENV Project MISIS (Contract 07.020400/2012/616044/SUB/D2) MSFD Guiding Improvements in the Black Sea Integrated Monitoring System. We would like to thank all the scientific staff and the crew for the assistance during the cruise.</t>
  </si>
  <si>
    <t>WOS:000378815400022</t>
  </si>
  <si>
    <t>The Effect Of Recycled Polyester (rPET) Filament Fiber Properties On Various Woven Fabric Performance Properties</t>
  </si>
  <si>
    <t>In order to reduce the requirement of waste eliminating and environmental pollution, recycling seems to be a suitable solution. In this study, polyester fibers with three different number of filament and two fiber cross section form (round and plus) were spun from recycled polyethylene terephthalate (rPET) polymer and texturised on an industrial scale. rPET yams were used as a weft yam in woven fabric production. Fabric performance properties such as breaking, tearing and seam slippage resistance, weight, breaking elongation, abrasion resistance and air permeability were analysed and compared with that of virgin PET fabrics. As a result of this study, it was determined that virgin and rPET polymers provided almost similar fabric properties. Higher number of filaments gave lower fabric breaking elongation, seam strength, abrasion resistance and air permeability values while led to higher tearing strength. Except fabric weight and tensile properties, filament cross section had a significant affect on other studied fabric properties.</t>
  </si>
  <si>
    <t>10.32710/tekstilvekonfeksiyon.767428</t>
  </si>
  <si>
    <t>Kiri, G; Yilmaz, D</t>
  </si>
  <si>
    <t>Kiri, Gul; Yilmaz, Demet</t>
  </si>
  <si>
    <t>TEKSTIL VE KONFEKSIYON</t>
  </si>
  <si>
    <t>Sustainability; textile waste; plastic wastes; recycle polyester; textured filament yams; woven fabric properties</t>
  </si>
  <si>
    <t>CROSS-SECTIONAL SHAPE; PET MULTIFILAMENT YARN; PHYSICAL-PROPERTIES; VIRGIN; NUMBER</t>
  </si>
  <si>
    <t>[Kiri, Gul] KFS Sentet San &amp; Tic AS, Sakarya, Turkey; [Yilmaz, Demet] Suleyman Demirel Univ, Engn Fac, Text Engn Dept, West Campus, Isparta, Turkey</t>
  </si>
  <si>
    <t>Suleyman Demirel University</t>
  </si>
  <si>
    <t>Yilmaz, D (corresponding author), Suleyman Demirel Univ, Engn Fac, Text Engn Dept, West Campus, Isparta, Turkey.</t>
  </si>
  <si>
    <t>demetyilmaz@sdu.edu.tr</t>
  </si>
  <si>
    <t>EGE UNIV</t>
  </si>
  <si>
    <t>BORNOVA, IZMIR, 35100, TURKEY</t>
  </si>
  <si>
    <t>1300-3356</t>
  </si>
  <si>
    <t>TEKST KONFEKSIYON</t>
  </si>
  <si>
    <t>Tekst. Konfeksiyon</t>
  </si>
  <si>
    <t>WF7EV</t>
  </si>
  <si>
    <t>WOS:000706465900003</t>
  </si>
  <si>
    <t>A preliminary study on change of mistletoe (Viscum album L.) silage quality according to collection time and host tree species</t>
  </si>
  <si>
    <t>In this study, it was aimed to determine the silage quality of mistletoe (Viscum album L.) collected from wild pear (Pyrus amygdaliformis) and poplar trees (Populus canadensis) in January, July, August, and December. The fresh samples were chopped in 2 cm size and ensiled in 2 kg plastic bags then stored at 25 +/- 2 degrees C conditions for 45 days. Silage samples were investigated for dry matter ratio, acid, malic acid, citric acid, succinic acid, potassium, phosphorus, calcium, and magnesium contents. All quality traits of mistletoe silages were significantly different between host trees, collected times, and the interactions of host tree x collection time. It has been determined that mistletoe can be used as silage in terms of all the traits investigated. Besides, the silage of mistletoe collected from wild pear in December is better than other treatments. Mistletoe can be considered as an alternative roughage source due to its high content of crude protein, nutrient composition, easy digestibility, and organic acid content.</t>
  </si>
  <si>
    <t>10.3906/tar-2109-97</t>
  </si>
  <si>
    <t>Ozturk, YE; Gulumser, E; Mut, H; Basaran, U; Copur Dogrusoz, M</t>
  </si>
  <si>
    <t>Ozturk, Yasin Emre; Gulumser, Erdem; Mut, Hanife; Basaran, Ugur; Copur Dogrusoz, Medine</t>
  </si>
  <si>
    <t>Mistletoe; tree species; collection time; silage quality</t>
  </si>
  <si>
    <t>CHEMICAL-COMPOSITION; STOMATAL CLOSURE; ACID; FERMENTATION; STABILITY; DIETS; FEED</t>
  </si>
  <si>
    <t>[Ozturk, Yasin Emre; Gulumser, Erdem; Mut, Hanife] Univ Bilecik Seyh Edebali, Fac Agr &amp; Nat Sci, Dept Field Crops, Bilecik, Turkey; [Basaran, Ugur; Copur Dogrusoz, Medine] Univ Yozgat Bozok, Fac Agr, Dept Field Crops, Yozgat, Turkey</t>
  </si>
  <si>
    <t>Bilecik Seyh Edebali University</t>
  </si>
  <si>
    <t>Gulumser, E (corresponding author), Univ Bilecik Seyh Edebali, Fac Agr &amp; Nat Sci, Dept Field Crops, Bilecik, Turkey.</t>
  </si>
  <si>
    <t>erdem.gulumser@bilecik.edu.tr</t>
  </si>
  <si>
    <t>Scientific and Technological Research Council of Turkey (TUBITAK) [2209-A, 1919B011800989]</t>
  </si>
  <si>
    <t>This research was supported by funding from the Scientific and Technological Research Council of Turkey (TUBITAK) (2209-A Research Project Support Programme for Undergraduate Students (Application number: 1919B011800989)).</t>
  </si>
  <si>
    <t>1303-6173</t>
  </si>
  <si>
    <t>YY4YY</t>
  </si>
  <si>
    <t>WOS:000754797900006</t>
  </si>
  <si>
    <t>The Investigation of Quality Changes in Marinades Obtained from Frozen African Catfish (Clarias gariepinus, B., 1822)</t>
  </si>
  <si>
    <t>In this study, it is aimed to investigate the suitability of African catfish (Clarias gariepinus, B.,1822) caught intensively, especially in Mersin-Silifke for marinating and determine its shelf life. After their heads and tails were cut off and they were eviscerated first and then washed and drained of the water, the samples were put into plastic refrigerator bags and kept at -18 degrees C for 3 months. At the end of 3 months, the frozen samples were defrosted and boiled in boiling water for 5 min. They were put in brine after cooling and preserved at 4 +/- 1 degrees C. In the raw material, raw protein, lipid, moisture, raw ash analyses of the samples kept frozen for 3 months and the marinated samples were done in order to monitor the changes in the food composition at 3 month intervals and Thiobarbituric Acid number (TBA), Total Volatile Basic-Nitrogen (TVB-N), peroxide number, pH and sensory analyses were done in order to monitor the changes in chemical quality.</t>
  </si>
  <si>
    <t>Kaya, GK; Gozu, BB; Basturk, O</t>
  </si>
  <si>
    <t>Kaya, Gulderen Kurt; Gozu, Buket Busra; Basturk, Ozden</t>
  </si>
  <si>
    <t>JOURNAL OF ANIMAL AND VETERINARY ADVANCES</t>
  </si>
  <si>
    <t>African catfish; marinating; shelf life; peroxidenumber; intensively; defrosted</t>
  </si>
  <si>
    <t>FISH; 4-DEGREES-C; STORAGE; BALLS</t>
  </si>
  <si>
    <t>[Kaya, Gulderen Kurt] Univ Tunceli, Dept Fish Proc Technol, Fac Fisheries, Tunceli, Turkey; [Gozu, Buket Busra] Mersin Univ, Dept Fish Proc Technol, Fac Fisheries, Mersin, Turkey; [Basturk, Ozden] Mersin Univ, Dept Basic Sci, Fac Fisheries, Mersin, Turkey</t>
  </si>
  <si>
    <t>Munzur University; Mersin University; Mersin University</t>
  </si>
  <si>
    <t>Kaya, GK (corresponding author), Univ Tunceli, Dept Fish Proc Technol, Fac Fisheries, Tunceli, Turkey.</t>
  </si>
  <si>
    <t>Kaya, Gülderen Kurt/V-3875-2017; Dağtekin, Büket Buşra Gözü/ABE-4270-2021</t>
  </si>
  <si>
    <t>Kaya, Gülderen Kurt/0000-0001-8988-2238; Dağtekin, Büket Buşra Gözü/0000-0003-1706-6228</t>
  </si>
  <si>
    <t>MEDWELL ONLINE</t>
  </si>
  <si>
    <t>ANSINET BUILDING, 308-LASANI TOWN, SARGODHA RD, FAISALABAD, 38090, PAKISTAN</t>
  </si>
  <si>
    <t>1680-5593</t>
  </si>
  <si>
    <t>J ANIM VET ADV</t>
  </si>
  <si>
    <t>J. Anim. Vet. Adv.</t>
  </si>
  <si>
    <t>687NF</t>
  </si>
  <si>
    <t>WOS:000284784500016</t>
  </si>
  <si>
    <t>Extruded expanded polystyrene sheets coated by TiO2 as new photocatalytic materials for foodstuffs packaging</t>
  </si>
  <si>
    <t>Nanostructured, photoactive anatase TiO2 sol prepared under very mild conditions using titanium tetraisopropoxide as the precursor is used to functionalise extruded expanded polystyrene (XPS) sheets by spray-coating resulting in stable and active materials functionalised by TiO2 nanoparticles. Photocatalytic tests of these sheets performed in a batch reactor in gas-solid system under UV irradiation show their successful activity in degrading probe molecules (2-propanol, trimethylamine and ethene). Raman spectra ensure the deposition of TiO2 as crystalline anatase phase on the polymer surface. The presence of TiO2 with respect to polymer surface can be observed in SEM images coupled to EDAX mapping allowing to monitor the surface morphology and the distribution of TiO2 particles. Finally thermoforming of these sheets in industrial standard equipment leads to useful containers for foodstuffs. (C) 2012 Elsevier B. V. All rights reserved.</t>
  </si>
  <si>
    <t>10.1016/j.apsusc.2012.08.100</t>
  </si>
  <si>
    <t>Loddo, V; Marci, G; Palmisano, G; Yurdakal, S; Brazzoli, M; Garavaglia, L; Palmisano, L</t>
  </si>
  <si>
    <t>Loddo, V.; Marci, G.; Palmisano, G.; Yurdakal, S.; Brazzoli, M.; Garavaglia, L.; Palmisano, L.</t>
  </si>
  <si>
    <t>APPLIED SURFACE SCIENCE</t>
  </si>
  <si>
    <t>Photoactive polymer; Polystyrene functionalised by TiO2; Photocatalytic material for foodstuffs</t>
  </si>
  <si>
    <t>THIN-FILMS; TITANIUM-DIOXIDE; COATINGS; BACTERIA; PLASTICS</t>
  </si>
  <si>
    <t>[Loddo, V.; Marci, G.; Palmisano, G.; Palmisano, L.] Univ Palermo, Schiavello Grillone Photocatalysis Grp, Dipartimento Ingn Elettr Elettron &amp; Telecomunicaz, I-90128 Palermo, Italy; [Yurdakal, S.] Afyon Kocatepe Univ, Kimya Bolumu Fen Edebiyat Fakultesi, TR-03200 Afyon, Turkey; [Brazzoli, M.; Garavaglia, L.] Sirap Gema SPA, I-25028 Brescia, Italy</t>
  </si>
  <si>
    <t>University of Palermo; Afyon Kocatepe University</t>
  </si>
  <si>
    <t>Palmisano, G (corresponding author), Univ Palermo, Schiavello Grillone Photocatalysis Grp, Dipartimento Ingn Elettr Elettron &amp; Telecomunicaz, I-90128 Palermo, Italy.</t>
  </si>
  <si>
    <t>giovanni_palmisano@yahoo.it; leonardo.palmisano@unipa.it</t>
  </si>
  <si>
    <t>yurdakal, sedat/AAD-3502-2019; LODDO, VITTORIO/H-1297-2014; Marcì, Giuseppe/AAG-3657-2020; Garcia-Lopez, Elisa/X-7131-2018</t>
  </si>
  <si>
    <t>yurdakal, sedat/0000-0002-6593-7705; Marcì, Giuseppe/0000-0003-2215-6543; Garcia-Lopez, Elisa/0000-0002-1409-8921; Palmisano, Giovanni/0000-0001-9838-6252</t>
  </si>
  <si>
    <t>0169-4332</t>
  </si>
  <si>
    <t>APPL SURF SCI</t>
  </si>
  <si>
    <t>Appl. Surf. Sci.</t>
  </si>
  <si>
    <t>Chemistry, Physical; Materials Science, Coatings &amp; Films; Physics, Applied; Physics, Condensed Matter</t>
  </si>
  <si>
    <t>Chemistry; Materials Science; Physics</t>
  </si>
  <si>
    <t>028SJ</t>
  </si>
  <si>
    <t>WOS:000310442500120</t>
  </si>
  <si>
    <t>Formulating and studying compound chocolate with adding dried grape pomace as a bulking agent</t>
  </si>
  <si>
    <t>The use of dried grape pomace (DGP) as a bulking agent for partly substitution of sugar, milk powder and whey powder in compound chocolate (CC) was investigated. D-optimal mixture design was used to determine the effect of composition on the particle size, flow behaviour (Casson yield value and plastic viscosity), as well as total phenolic and resveratrol contents before and after in vitro digestion. The various models (linear, quadratic and cubic) which were identified as significant (P &lt; 0.05) were used in this study. As a result, DGP was found suitable to be used in CC as a bulking agent to partially substitute sucrose, milk powder and whey powder to increase functional properties and decrease the cost of the CC. For CC with the most acceptable rheological properties and a satisfactory level of TPC and resveratrol, optimum usage levels of DGP were identified as 7.1% to 10.0%. Further studies will require to modify flow behaviours by optimizing the particle size of pomace.</t>
  </si>
  <si>
    <t>10.1007/s13197-021-05180-8</t>
  </si>
  <si>
    <t>Bursa, K; Kilicli, M; Toker, OS; Palabiyik, I; Gulcu, M; Yaman, M; Kian-Pour, N; Konar, N</t>
  </si>
  <si>
    <t>Bursa, Kubra; Kilicli, Mahmut; Toker, Omer Said; Palabiyik, Ibrahim; Gulcu, Mehmet; Yaman, Mustafa; Kian-Pour, Nasim; Konar, Nevzat</t>
  </si>
  <si>
    <t>JOURNAL OF FOOD SCIENCE AND TECHNOLOGY-MYSORE</t>
  </si>
  <si>
    <t>Grape pomace; Compound chocolate; Functional food; Mixture design; Optimization</t>
  </si>
  <si>
    <t>ANTIOXIDANT DIETARY FIBER; MILK CHOCOLATE; FLOUR; DIGESTIBILITY; PARAMETERS; DIGESTION; QUALITY; POWDER</t>
  </si>
  <si>
    <t>[Bursa, Kubra; Toker, Omer Said] Yildiz Tech Univ, Chem &amp; Met Engn Fac, Food Engn Dept, Istanbul, Turkey; [Kilicli, Mahmut] Gaziantep Univ, Tech Sci Vocat Sch, Dept Food Proc, Gaziantep, Turkey; [Palabiyik, Ibrahim] Namik Kemal Univ, Agr Fac, Food Engn Dept, Tekirdag, Turkey; [Gulcu, Mehmet] Minist Agr &amp; Forestry, Food Control Lab Directorate, Balikesir, Turkey; [Yaman, Mustafa] Istanbul Sabahattin Zaim Univ, Hlth Sci Fac, Nutr &amp; Dietet Dept, Istanbul, Turkey; [Kian-Pour, Nasim] Istanbul Aydin Univ, Sch Appl Sci, Food Technol Dept, Istanbul, Turkey; [Konar, Nevzat] Eskisehir Osmangazi Univ, Agr Fac, Food Engn Dept, Eskisehir, Turkey</t>
  </si>
  <si>
    <t>Yildiz Technical University; Gaziantep University; Namik Kemal University; Istanbul Sabahattin Zaim University; Istanbul Aydin University; Eskisehir Osmangazi University</t>
  </si>
  <si>
    <t>Konar, N (corresponding author), Eskisehir Osmangazi Univ, Agr Fac, Food Engn Dept, Eskisehir, Turkey.</t>
  </si>
  <si>
    <t>nevzatkonar@hotmail.com</t>
  </si>
  <si>
    <t>KIAN-POUR, Nasim/ABB-9680-2021; Konar, Nevzat/Y-9527-2018; Yaman, Mustafa/AAB-7380-2021; KILIÇLI, Mahmut/AAA-6017-2022; Kılıçlı, Mahmut/AEK-2399-2022</t>
  </si>
  <si>
    <t>KIAN-POUR, Nasim/0000-0001-9558-4077; Konar, Nevzat/0000-0002-7383-3949; Yaman, Mustafa/0000-0001-9692-0204; KILICLI, MAHMUT/0000-0002-6885-0277</t>
  </si>
  <si>
    <t>Scientific and Technological Research Council of Turkey (TUBITAK) [TOVAG217O054]</t>
  </si>
  <si>
    <t>This work was funded by the Scientific and Technological Research Council of Turkey (TUBITAK), Project No. TOVAG217O054.</t>
  </si>
  <si>
    <t>SPRINGER INDIA</t>
  </si>
  <si>
    <t>7TH FLOOR, VIJAYA BUILDING, 17, BARAKHAMBA ROAD, NEW DELHI, 110 001, INDIA</t>
  </si>
  <si>
    <t>0022-1155</t>
  </si>
  <si>
    <t>0975-8402</t>
  </si>
  <si>
    <t>J FOOD SCI TECH MYS</t>
  </si>
  <si>
    <t>J. Food Sci. Technol.-Mysore</t>
  </si>
  <si>
    <t>0V6VZ</t>
  </si>
  <si>
    <t>WOS:000663237500001</t>
  </si>
  <si>
    <t>Film Formation of Poly (methyl methacrylate) Latex With Pyrene Functional Poly (divinylbenzene) Microspheres Prepared by Click Chemistry</t>
  </si>
  <si>
    <t>This work reports on the application of steady state fluorescence (SSF) technique for studying film formation from poly(methyl methacrylate) (PMMA) latex and poly(divinylbenzene) (PDVB) microsphere composites. Pyrene (P) functionalized PDVB cross-linked spherical microspheres with diameters of 2.5 mu m were synthesized by using precipitation polymerization technique followed by click coupling reaction. The diameter of the PMMA particles prepared by emulsion polymerization were in the range of 0.5-0.7 mu m. PMMA/PDVB composite films were then prepared by physically blending of PMMA latex with PDVB microspheres at various composition (0, 1, 3, 5, 10, 20, 40, and 60 wt%). After drying, films were annealed at elevated temperatures above T(g) of PMMA ranging from 100 to 270 degrees C for 10 min time intervals. Evolution of transparency of the composite films was monitored by using photon transmission intensity, I(tr). Monomer (I(P)) and excimer (I(E)) fluorescence intensities from P were measured after each annealing step. The possibility of using the excimer-to-monomer intensity ratio (I(E)/I(P)) from PDVB microparticles as a measure of PMMA latex coalescence was demonstrated. Diffusion of the PMMA chains across the particle-particle interfaces dilutes the dyes, increasing their separation. The film formation stages of PMMA latexes were modeled by monitoring the I(E)/I(P) ratios and related activation energies were determined. There was no observable change in activation energies confirming that film formation behavior is not affected by varying the PDVB composition in the studied range. SEM images of PMMA/PDVB composites confirmed that the PMMA particles undergo complete coalescence forming a continuous phase in where PDVB microspheres are dispersed. POLYM. COMPOS., 32: 869-881, 2011. (C) 2011 Society of Plastics Engineers</t>
  </si>
  <si>
    <t>10.1002/pc.21094</t>
  </si>
  <si>
    <t>Ugur, S; Yargi, O; Durmaz, YY; Karagoz, B; Bicak, N; Yagci, Y; Pekcan, O</t>
  </si>
  <si>
    <t>Ugur, Saziye; Yargi, Onder; Durmaz, Yasemin Yuksel; Karagoz, Bunyamin; Bicak, Niyazi; Yagci, Yusuf; Pekcan, Onder</t>
  </si>
  <si>
    <t>MODEL-FILLED POLYMERS; MONODISPERSE POLY(DIVINYLBENZENE) MICROSPHERES; RADIATION-INDUCED POLYMERIZATION; PRECIPITATION POLYMERIZATION; POLYSTYRENE PARTICLES; RHEOLOGICAL BEHAVIOR; PHASE-SEPARATION; MOLECULAR-WEIGHT; ACRYLIC LATICES; SURFACTANT-FREE</t>
  </si>
  <si>
    <t>[Ugur, Saziye; Yargi, Onder] Istanbul Tech Univ, Dept Phys, TR-34469 Istanbul, Turkey; [Durmaz, Yasemin Yuksel; Karagoz, Bunyamin; Bicak, Niyazi; Yagci, Yusuf] Istanbul Tech Univ, Dept Chem, TR-34469 Istanbul, Turkey; [Pekcan, Onder] Kadir Has Univ, Fac Arts &amp; Sci, TR-34320 Istanbul, Turkey</t>
  </si>
  <si>
    <t>Istanbul Technical University; Istanbul Technical University; Kadir Has University</t>
  </si>
  <si>
    <t>PEKCAN, Onder/Y-3158-2018; Yargi, Onder/AAB-7466-2021; Yagci, Yusuf/AAT-6283-2021; Karagoz, Bunyamin/ABH-2973-2020</t>
  </si>
  <si>
    <t>PEKCAN, Onder/0000-0002-0082-8209; Yargi, Onder/0000-0001-6343-0057; Yagci, Yusuf/0000-0001-6244-6786; Karagoz, Bunyamin/0000-0003-1191-218X</t>
  </si>
  <si>
    <t>Contract grant sponsor: Turkish Academy of Sciences (TUBA).</t>
  </si>
  <si>
    <t>MALDEN</t>
  </si>
  <si>
    <t>COMMERCE PLACE, 350 MAIN ST, MALDEN 02148, MA USA</t>
  </si>
  <si>
    <t>WOS:000290478600002</t>
  </si>
  <si>
    <t>Effects of high-molecular-weight polyvinyl chloride on Xenopus laevis adults and embryos: the mRNA expression profiles of Myf5, Esr1, Bmp4, Pax6, and Hsp70 genes during early embryonic development</t>
  </si>
  <si>
    <t>Microplastics and associated adverse effects have been on the global agenda in recent years. Because of its importance as a model organism for studies on developmental biology, Xenopus laevis has been chosen as the study animal in in vitro teratogenesis studies. FETAX test uses early-stage embryos of X. laevis to measure the potential of substances to cause mortality, malformation, and growth inhibition in developing embryos. The aim of this study was to examine the effects of high molecular weight polyvinyl chloride (HMW-PVC) on parental X. laevis frogs and their embryos using the FETAX test. To this purpose, a HMW-PVC dose of 1% of body weight/twice each week was provided to frogs by oral gavage throughout 6 weeks. After the procedure, oocytes and sperms of HMW-PVC-exposed frogs were fertilized and FETAX was applied to selected embryos. After the completion of a 96-h incubation period, tadpoles were examined, their live/dead status were determined, their lengths were measured, and their anomalies were photographed. Besides, excised organs of the parental frogs were referred to histopathology examination. On the other hand, the mRNA expression levels of Hsp70, Myf5, Bmp4, Pax6, and Esr1 genes were determined by applying real-time quantitative PCR method to cDNA which was synthesized from the total RNA of embryos. The results showed that treatment with HMW-PVC dose of 1% of body weight/twice each week caused malformations and decreased viability. Hsp70 and Pax6 gene expression levels significantly decreased in all assay groups, as compared with controls. Lung and intestine tissues showed normal appearance in histopatological examination. Further research is required to explain the whole effects of HMW-PVC exposure on X. laevis embryos.</t>
  </si>
  <si>
    <t>10.1007/s11356-021-16527-1</t>
  </si>
  <si>
    <t>Pekmezekmek, AB; Emre, M; Erdogan, S; Yilmaz, B; Tunc, E; Sertdemir, Y; Emre, Y</t>
  </si>
  <si>
    <t>Pekmezekmek, Ayper Boga; Emre, Mustafa; Erdogan, Seyda; Yilmaz, Bertan; Tunc, Erdal; Sertdemir, Yasar; Emre, Yilmaz</t>
  </si>
  <si>
    <t>Microplastics; HMW-PVC; Embryo teratogenicity; Embryo toxicity; FETAX; X; laevis; Gene expression; In vitro fertilization</t>
  </si>
  <si>
    <t>PLASTIC DEBRIS; MICROPLASTICS; ACCUMULATION; EXPOSURE; ACTIVATION; INGESTION; PROTEINS; IMPACTS; TARGETS; GROWTH</t>
  </si>
  <si>
    <t>[Pekmezekmek, Ayper Boga] Cukurova Univ, Sch Med, Dept Physiol, TR-01330 Adana, Turkey; [Emre, Mustafa] Cukurova Univ, Sch Med, Dept Biophys, Adana, Turkey; [Erdogan, Seyda] Cukurova Univ, Sch Med, Dept Pathol, Adana, Turkey; [Yilmaz, Bertan; Tunc, Erdal] Cukurova Univ, Sch Med, Dept Med Biol, Adana, Turkey; [Sertdemir, Yasar] Cukurova Univ, Sch Med, Dept Bioistat, Adana, Turkey; [Emre, Yilmaz] Akdeniz Univ, Dept Biol, Fac Sci, Antalya, Turkey</t>
  </si>
  <si>
    <t>Cukurova University; Cukurova University; Cukurova University; Cukurova University; Cukurova University; Akdeniz University</t>
  </si>
  <si>
    <t>Pekmezekmek, AB (corresponding author), Cukurova Univ, Sch Med, Dept Physiol, TR-01330 Adana, Turkey.</t>
  </si>
  <si>
    <t>aypbog@cu.edu.tr</t>
  </si>
  <si>
    <t>Cukurova University Research Fund (I.U.BAP) [TSA-2019-11793]</t>
  </si>
  <si>
    <t>Cukurova University Research Fund (I.U.BAP)</t>
  </si>
  <si>
    <t>This study was supported by the Cukurova University Research Fund (I.U.BAP) (Project no: TSA-2019-11793).</t>
  </si>
  <si>
    <t>YS2BO</t>
  </si>
  <si>
    <t>WOS:000705825500003</t>
  </si>
  <si>
    <t>Development of the mechanical and barrier properties of collagen hydrolysate/carboxymethyl cellulose films by using SiO2 nanoparticles</t>
  </si>
  <si>
    <t>Pollution is a global problem and the increased use non-biodegradable plastic packaging films have caused environmental concerns. Thus, there is a tendency to use natural polymer materials, such as biodegradable films. This paper aims to prepare and characterize novel collagen hydrolysate/carboxymethyl cellulose/nano-SiO2 films for packaging/coating applications. The results indicate that the incorporation of nano-SiO2 in films from 1% to 4% caused significant increase (p&lt;0.05) in thickness and tensile strength but significantly decreased the elongation at break. Nano-SiO2 drastically reduced the water vapor permeability and water solubility values of films. Furthermore, the increments in nano-SiO2 proportion in films increased the values of transparency and provided a reduction in the light transmission in the ultraviolet and visible range. This study demonstrates that nano-SiO2 addition to collagen hydrolysate/carboxymethyl cellulose films gives significantly effects on properties of film produced. The enhancement of film properties shows the potential for using collagen hydrolysate/carboxymethyl cellulose films for coating/packaging purposes.</t>
  </si>
  <si>
    <t>10.5505/pajes.2018.80688</t>
  </si>
  <si>
    <t>Collagen hydrolysate; Carboxymethyl cellulose; SiO2; Water vapor permeability; Water solubility</t>
  </si>
  <si>
    <t>LEATHER SOLID-WASTES; EDIBLE FILMS; GELATIN; HYDROLYSATE; NANOCOMPOSITE; CHROMIUM; SKIN</t>
  </si>
  <si>
    <t>[Ocak, Bugra] Ege Univ, Fac Engn, Dept Leather Engn, Izmir, Turkey</t>
  </si>
  <si>
    <t>Ocak, B (corresponding author), Ege Univ, Fac Engn, Dept Leather Engn, Izmir, Turkey.</t>
  </si>
  <si>
    <t>bugraocak@gmail.com</t>
  </si>
  <si>
    <t>IF3GB</t>
  </si>
  <si>
    <t>WOS:000472967800009</t>
  </si>
  <si>
    <t>Central composite design for the optimisation of Cd and Pb determination in PVC materials by atomic absorption spectrometry after Kjeldahl digestion</t>
  </si>
  <si>
    <t>A convenient and simple wet acid digestion method was developed for the determination of Cd and Pb concentrations in polyvinyl chloride matrices by atomic absorption spectrometry. Response surface methodology (RSM) was used to optimise the conditions for maximum recovery and to understand the significance and interaction of the factors affecting the recovery of Cd and Pb. The central composite design was employed to evaluate the effects of nitric acid volume (2.6-9.4 mL), sulphuric acid volume (0.6-7.4 mL) and certified reference material (CRM) amount (0.1-0.5 g) on the metal recoveries (60 min, 200 degrees C and 20 min, 250 degrees C). The accuracy was also evaluated using the polyvinyl chloride reference material Fluxana FLX-PVC2. The apparent recoveries of the elements relative to the certified values ranged from 0.94 (Cd) to 0.92 (Pb). The method's detection limits were found to be 1.6 and 6.4 mg kg(-1) for Cd and Pb, respectively. (C) 2011 Elsevier Ltd. All rights reserved.</t>
  </si>
  <si>
    <t>10.1016/j.polymertesting.2011.06.007</t>
  </si>
  <si>
    <t>Ozer, ET; Gucer, S</t>
  </si>
  <si>
    <t>Ozer, Elif Tumay; Gucer, Seref</t>
  </si>
  <si>
    <t>PVC; Kjeldahl digestion; Pb; Cd; Central composite design</t>
  </si>
  <si>
    <t>PLASMA-MASS-SPECTROMETRY; PLASTIC MATERIALS; TRACE-ELEMENTS; PACKAGING MATERIALS; HEAVY-METALS; SAMPLES; CADMIUM</t>
  </si>
  <si>
    <t>[Ozer, Elif Tumay; Gucer, Seref] Uludag Univ, Fac Arts &amp; Sci, Dept Chem, TR-16059 Bursa, Turkey; [Gucer, Seref] TUBITAK Bursa Test &amp; Anal Lab, TR-16190 Bursa, Turkey</t>
  </si>
  <si>
    <t>Uludag University; Turkiye Bilimsel ve Teknolojik Arastirma Kurumu (TUBITAK)</t>
  </si>
  <si>
    <t>Gucer, S (corresponding author), Uludag Univ, Fac Arts &amp; Sci, Dept Chem, TR-16059 Bursa, Turkey.</t>
  </si>
  <si>
    <t>sgucer@uludag.edu.tr</t>
  </si>
  <si>
    <t>Özer, Elif Tümay/AAI-3137-2021</t>
  </si>
  <si>
    <t>gucer, seref/0000-0003-0610-2019</t>
  </si>
  <si>
    <t>Commission of Scientific Research of Uludag University [F-2008/57]</t>
  </si>
  <si>
    <t>Commission of Scientific Research of Uludag University(Uludag University)</t>
  </si>
  <si>
    <t>This work was supported by the Commission of Scientific Research Projects of Uludag University (Project number: F-2008/57). The authors thank TUBITAK-BUTAL for their technical support.</t>
  </si>
  <si>
    <t>825AV</t>
  </si>
  <si>
    <t>hybrid</t>
  </si>
  <si>
    <t>WOS:000295244200013</t>
  </si>
  <si>
    <t>Reduction of Biofilm Formation on Cooling Tower Heat Exchangers using Nano-silica Coating Environmentally sustainable antifouling coating demonstrated on stainless steel heat exchanger tubes</t>
  </si>
  <si>
    <t>Cooling towers are industrial cooling units operating to dissipate heat. As with any surface in contact with aqueous systems, biofilm formation appears on the surface of heat exchangers. Although biofilm formation on plastic tower fill in wet cooling towers has been studied widely, no studies were found regarding biofilm formation on steel heat exchangers in closed-loop systems. In this study, heat exchangers were coated with nano-silica, which is known to reduce the formation of biofilm. Natural biofilm formation was monitored for six months. Biofouling was examined monthly using epifluorescence microscopy by assessing the numbers of live and dead bacteria. It was observed that the biofilm layer formed on the nano-silica coated heat exchanger surfaces was significantly lower than on the control surfaces. 3 log microbial reduction was recorded on coated surfaces in the first month. After six months, total biomass on control surfaces reached 1.28 x 10(12) cell cm(-2), while the biomass on nano-silica coated surfaces was 6.3 x 10(4) cell cm(-2).</t>
  </si>
  <si>
    <t>10.1595/205651320X15895565390677</t>
  </si>
  <si>
    <t>Turetgen, I</t>
  </si>
  <si>
    <t>Turetgen, Irfan</t>
  </si>
  <si>
    <t>JOHNSON MATTHEY TECHNOLOGY REVIEW</t>
  </si>
  <si>
    <t>CENTRAL VENOUS CATHETERS; PSEUDOMONAS-AERUGINOSA; SILVER NANOPARTICLES; INHIBITION; EFFICACY</t>
  </si>
  <si>
    <t>[Turetgen, Irfan] Istanbul Univ, Fac Sci, Dept Biol, Basic &amp; Ind Microbiol Sect, TR-34134 Istanbul, Turkey</t>
  </si>
  <si>
    <t>Turetgen, I (corresponding author), Istanbul Univ, Fac Sci, Dept Biol, Basic &amp; Ind Microbiol Sect, TR-34134 Istanbul, Turkey.</t>
  </si>
  <si>
    <t>Istanbul University [29220]</t>
  </si>
  <si>
    <t>Istanbul University(Istanbul University)</t>
  </si>
  <si>
    <t>This study was supported by 'Research Fund of the Istanbul University'. Project number: 29220.</t>
  </si>
  <si>
    <t>JOHNSON MATTHEY PUBL LTD CO</t>
  </si>
  <si>
    <t>ROYSTON</t>
  </si>
  <si>
    <t>ORCHARD RD, ROYSTON SG8 5HE, HERTFORDSHIRE, ENGLAND</t>
  </si>
  <si>
    <t>2056-5135</t>
  </si>
  <si>
    <t>JOHNSON MATTHEY TECH</t>
  </si>
  <si>
    <t>Johns. Matthey Technol. Rev.</t>
  </si>
  <si>
    <t>Chemistry, Physical</t>
  </si>
  <si>
    <t>PV3FD</t>
  </si>
  <si>
    <t>WOS:000609875600003</t>
  </si>
  <si>
    <t>Development of antimicrobial gelatin films with boron derivatives</t>
  </si>
  <si>
    <t>Food packaging technology has been advancing to provide safe and high quality food products and to minimize food waste. Moreover, there is a dire need to replace plastic materials in order to reduce environmental pollution. The aim of this study was to prepare biodegradable antimicrobial packaging films from gelatin. Boric acid, disodium octaborate tetrahydrate, and sodium pentaborate were incorporated as the antimicrobial agents. Films containing boric acid and its salts showed antibacterial effect against Staphylococcus aureus and Pseudomonas aeruginosa, as well as antifungal and anticandidal effects against Aspetgillus niger and Candida albicans. The mechanical strength of the films was mostly enhanced by the addition of boron derivatives. The rheological measurements and Fourier-transform infrared spectroscopy results suggest that boron derivatives did not interfere with the network formation during gelling. The morphology of boron-added antimicrobial films was found to be similar to the morphology of the control. In conclusion, the newly developed gelatin films containing 10% or 15% disodium octaborate (g/g gelatin) might be good candidates for biodegradable antimicrobial packaging materials.</t>
  </si>
  <si>
    <t>10.3906/biy-1807-181</t>
  </si>
  <si>
    <t>Argin, S; Gulerim, M; Sahin, F</t>
  </si>
  <si>
    <t>Argin, Sanem; Gulerim, Merve; Sahin, Fikrettin</t>
  </si>
  <si>
    <t>TURKISH JOURNAL OF BIOLOGY</t>
  </si>
  <si>
    <t>Gelatin films; antimicrobial packaging; boron; antifungal; boric acid; disodium octaborate tetrahydrate; sodium pentaborate</t>
  </si>
  <si>
    <t>HIGH-IMPACT POLYSTYRENE; MECHANICAL-PROPERTIES; THERMAL-PROPERTIES; GENERAL-PURPOSE; CROSS-LINKING; FOOD; MIGRATION; STYRENE; PROTEIN; COMPOSITE</t>
  </si>
  <si>
    <t>[Argin, Sanem; Gulerim, Merve] Yeditepe Univ, Fac Engn, Dept Food Engn, Istanbul, Turkey; [Sahin, Fikrettin] Yeditepe Univ, Fac Engn, Dept Genet &amp; Bioengn, Istanbul, Turkey</t>
  </si>
  <si>
    <t>Argin, S (corresponding author), Yeditepe Univ, Fac Engn, Dept Food Engn, Istanbul, Turkey.</t>
  </si>
  <si>
    <t>sanem.argin@yeditepe.edu.tr</t>
  </si>
  <si>
    <t>Argın, Sanem/V-8461-2019; ARGIN, SANEM/Z-6184-2019</t>
  </si>
  <si>
    <t>ARGIN, SANEM/0000-0002-2811-2202; Sahin, Fikrettin/0000-0003-1503-5567</t>
  </si>
  <si>
    <t>1300-0152</t>
  </si>
  <si>
    <t>1303-6092</t>
  </si>
  <si>
    <t>TURK J BIOL</t>
  </si>
  <si>
    <t>Turk. J. Biol.</t>
  </si>
  <si>
    <t>HK6DG</t>
  </si>
  <si>
    <t>WOS:000458059900006</t>
  </si>
  <si>
    <t>Electromagnetic interference shielding performance and electromagnetic properties of wood-plastic nanocomposite with graphene nanoplatelets</t>
  </si>
  <si>
    <t>In this paper, we investigated the electromagnetic interference (EMI) shielding effectiveness of wood-polyvinyl chloride (WP)/graphene nanoplatelets (GNP) nanocomposites (0-9 wt%) which are flexible, lightweight, and resistant, and its EMI shielding performance increases based on the enhancement of graphene amount in nanocomposites. The increase of EMI shielding ability is attributed to the electromagnetic properties of the WP/GNP nanocomposites, such as permeability and permittivity. Scanning electron microscopy pictures show that GNP, even at low proportions, had a good dispersion in WP. This study is achieved by the composites that we produced in laboratory conditions with five different combinations of graphene nanoplatelets, wood, and polyvinyl chloride. According to observation, GNP loading to WP regularly increased its permeability and permittivity so that reaching to good shielding effectiveness. When we look into the contributions of reflection and absorption to the total shielding performance, shielding mostly occurred in reflection mechanism. In addition to that, the WP/GNP-5 nanocomposite with 9 wt% graphene nanoplatelets revealed the highest value of EMI shielding effectiveness (approximately 26 dB) over 8-9 GHz frequency range.</t>
  </si>
  <si>
    <t>10.1007/s10854-017-6364-1</t>
  </si>
  <si>
    <t>Karteri, I; Altun, M; Gunes, M</t>
  </si>
  <si>
    <t>Karteri, Ibrahim; Altun, Mahmut; Gunes, Mahit</t>
  </si>
  <si>
    <t>JOURNAL OF MATERIALS SCIENCE-MATERIALS IN ELECTRONICS</t>
  </si>
  <si>
    <t>ELECTRICAL-CONDUCTIVITY; POLYMER COMPOSITES; CARBON FILLERS; POLYANILINE; LIGHTWEIGHT; POLLUTION; BLACK</t>
  </si>
  <si>
    <t>[Karteri, Ibrahim] Kahramanmaras Sutcu Imam Univ, Dept Energy Syst Engn, TR-46300 Kahramanmaras, Turkey; [Altun, Mahmut; Gunes, Mahit] Kahramanmaras Sutcu Imam Univ, Dept Elect &amp; Elect Engn, TR-46100 Kahramanmaras, Turkey</t>
  </si>
  <si>
    <t>Kahramanmaras Sutcu Imam University; Kahramanmaras Sutcu Imam University</t>
  </si>
  <si>
    <t>Karteri, I (corresponding author), Kahramanmaras Sutcu Imam Univ, Dept Energy Syst Engn, TR-46300 Kahramanmaras, Turkey.</t>
  </si>
  <si>
    <t>ibrahimkarteri@gmail.com</t>
  </si>
  <si>
    <t>gunes, mahit/AAI-7380-2020</t>
  </si>
  <si>
    <t>Graf Nano Technological Materials Industry and Trade Ltd. Co.; Kahramanmaras Sutcu Imam University [2016/6-55M]</t>
  </si>
  <si>
    <t>Graf Nano Technological Materials Industry and Trade Ltd. Co.; Kahramanmaras Sutcu Imam University(Kahramanmaras Sutcu Imam University)</t>
  </si>
  <si>
    <t>We would like to thank Graf Nano Technological Materials Industry and Trade Ltd. Co. (Founder &amp; Chief Science Officer: I. Karteri) and Kahramanmaras Sutcu Imam University (Project No.: 2016/6-55M) for their financial supports.</t>
  </si>
  <si>
    <t>0957-4522</t>
  </si>
  <si>
    <t>1573-482X</t>
  </si>
  <si>
    <t>J MATER SCI-MATER EL</t>
  </si>
  <si>
    <t>J. Mater. Sci.-Mater. Electron.</t>
  </si>
  <si>
    <t>ES7DH</t>
  </si>
  <si>
    <t>WOS:000399709300044</t>
  </si>
  <si>
    <t>Determination of Fermentation Properties and Digestibility Characteristics of Combination of Corn-Soybean and Corn Silages</t>
  </si>
  <si>
    <t>This study was conducted to determine in vivo digestibility and fermentation property of various silages made of green herbage of Corn (C) and corn-soybean mixtures at different rates (90% corn + 10% soybean (90C10SB), 80% corn + 20% soybean (80C20SB), 70% corn + 30 soybean (70C30SB)). Each mixture was prepared at rates given above on fresh material basis and ensiled in 120 L plastic barrels (a total of 20, 5 replicate for 4 treatments) for 90 days. pH values of C silage were higher and acetic acid levels were lower than that of 80C20SB (p&lt;0.05). Concentrations of lactic and propionic acid of corn-soybean mixture silages were found to be similar to C silage. Digestibility of DM, OM, ADF and NDF were higher in C silage than that of other silages, whereas digestibility of CP and EE of 80C20SB silage were higher than corn silage (p&lt;0.05). It was concluded that ensiling corn with 20 or 30% soybean addition at green herbage basis generates desirable outcomes for fermentation properties and digestibility of crude nutrients.</t>
  </si>
  <si>
    <t>Demirel, M; Celik, S; Temur, C; Guney, M; Celik, S</t>
  </si>
  <si>
    <t>Demirel, Murat; Celik, Sibel; Temur, Cuneyt; Guney, Mehtap; Celik, Savas</t>
  </si>
  <si>
    <t>Corn and corn-soybean mixture silage; fermentation; digestibility; determination; properties</t>
  </si>
  <si>
    <t>[Demirel, Murat; Celik, Sibel; Temur, Cuneyt; Guney, Mehtap] Yuzuncu Yil Univ, Fac Agr, Dept Anim Sci, TR-65080 Van, Turkey; [Celik, Savas] Minist Agr &amp; Rural Affairs, Van, Turkey</t>
  </si>
  <si>
    <t>Yuzuncu Yil University; Ministry of Food, Agriculture &amp; Livestock - Turkey</t>
  </si>
  <si>
    <t>Celik, S (corresponding author), Yuzuncu Yil Univ, Fac Agr, Dept Anim Sci, TR-65080 Van, Turkey.</t>
  </si>
  <si>
    <t>1993-601X</t>
  </si>
  <si>
    <t>443CX</t>
  </si>
  <si>
    <t>WOS:000265888900020</t>
  </si>
  <si>
    <t>Effects of Housing Locations on Feather Damages of Laying Hens in a Free-Range Housing System</t>
  </si>
  <si>
    <t>This study was made to evaluate the effects of different locations of a free range housing system on feather damages of laying hens. The experimental house consisted of three different locations as closed indoor plastic slats, closed indoor litter and outdoor range area. The birds were able to move freely between the locations of the experimental house and they had continuous access to outdoor range during the day. The feather damages of the birds was evaluated with a distance scoring system at 64 weeks of age. Five area in each location of the experimental house were determined at first and then feather damages of five body parts of ten birds in each location were scored to measure plumage quality. Total feather score was defined as the sum of the scores of five body parts of the birds. Best plumage quality was measured in neck in all housing locations (P&lt;0.01, P&lt;0.05 and P&lt;0.01) and total feather score of the birds was significantly greatest (worst) in slats (P&lt;0.05).</t>
  </si>
  <si>
    <t>Petek, M</t>
  </si>
  <si>
    <t>Petek, Metin</t>
  </si>
  <si>
    <t>JOURNAL OF THE HELLENIC VETERINARY MEDICAL SOCIETY</t>
  </si>
  <si>
    <t>Free range; housing location; plumage quality</t>
  </si>
  <si>
    <t>KEEL-BONE DAMAGE; PECKING BEHAVIOR; PLUMAGE; WELFARE; OUTDOOR; PREVALENCE; ENRICHMENT; ACCESS; HEALTH</t>
  </si>
  <si>
    <t>[Petek, Metin] Bursa Uludag Univ, Fac Vet Med, Dept Anim Sci, Bursa, Turkey</t>
  </si>
  <si>
    <t>HELLENIC VETERINARY MEDICAL SOC</t>
  </si>
  <si>
    <t>ATHENS</t>
  </si>
  <si>
    <t>158 PATISSION ST, ATHENS, 112 57, GREECE</t>
  </si>
  <si>
    <t>1792-2720</t>
  </si>
  <si>
    <t>J HELL VET MED SOC</t>
  </si>
  <si>
    <t>J. Hell. Vet. Med. Soc.</t>
  </si>
  <si>
    <t>OCT-DEC</t>
  </si>
  <si>
    <t>QA8KV</t>
  </si>
  <si>
    <t>WOS:000613692200014</t>
  </si>
  <si>
    <t>Compression and shear behavior of ultrathin coated nanoporous gold: A molecular dynamics study</t>
  </si>
  <si>
    <t>This paper investigates the compressive and shear properties of nanoporous gold (np-Au) coated with different ultrathin metallic materials (i.e., platinum and silver) via molecular dynamics simulations. Atomistic models used for the geometric representation of coated and uncoated np-Au structures are generated through a modeling technique based on the Voronoi tessellation method. Three different coating thickness values are used to examine the role of thickness for the coating performance under compressive and shear loading by comparing the mechanical characteristics of the atomistic models such as Young's modulus, yield, and ultimate strengths. Moreover, adaptive common neighbor analyses are carried out by monitoring the evolution of the crystal structure of the specimens during the loading process. In this way, the deformation mechanisms of coated and uncoated nanoporous specimens are identified thoroughly. As a key finding from the simulation results, it is observed that the mechanical properties of np-Au are crucially dependent on the type of the coating material. However, a significant improvement on the toughness within the plastic regime is demonstrated for all types of coating materials and loading conditions. Published by AIP Publishing.</t>
  </si>
  <si>
    <t>10.1063/1.5041340</t>
  </si>
  <si>
    <t>Yildiz, YO; Kirca, M</t>
  </si>
  <si>
    <t>Yildiz, Yunus Onur; Kirca, Mesut</t>
  </si>
  <si>
    <t>JOURNAL OF APPLIED PHYSICS</t>
  </si>
  <si>
    <t>MECHANICAL-PROPERTIES; METALS; ENERGY; RELAXATION; SIMULATION; STRENGTH; MODULUS; TENSILE; STRAIN; FOAMS</t>
  </si>
  <si>
    <t>[Yildiz, Yunus Onur; Kirca, Mesut] Istanbul Tech Univ, Dept Mech Engn, TR-34437 Istanbul, Turkey</t>
  </si>
  <si>
    <t>Kirca, M (corresponding author), Istanbul Tech Univ, Dept Mech Engn, TR-34437 Istanbul, Turkey.</t>
  </si>
  <si>
    <t>kircam@itu.edu.tr</t>
  </si>
  <si>
    <t>KIRCA, Mesut/G-9879-2014; YILDIZ, Yunus Onur/G-5629-2015</t>
  </si>
  <si>
    <t>KIRCA, Mesut/0000-0003-4963-5472; YILDIZ, Yunus Onur/0000-0001-5693-6682</t>
  </si>
  <si>
    <t>Scientific and Technological Research Council of Turkey (TUBITAK) [214M638]</t>
  </si>
  <si>
    <t>We would like to thank the Scientific and Technological Research Council of Turkey (TUBITAK; Grant No. 214M638) for its financial support.</t>
  </si>
  <si>
    <t>0021-8979</t>
  </si>
  <si>
    <t>1089-7550</t>
  </si>
  <si>
    <t>J APPL PHYS</t>
  </si>
  <si>
    <t>J. Appl. Phys.</t>
  </si>
  <si>
    <t>NOV 14</t>
  </si>
  <si>
    <t>Physics, Applied</t>
  </si>
  <si>
    <t>HA4FE</t>
  </si>
  <si>
    <t>WOS:000450213300013</t>
  </si>
  <si>
    <t>Simulation of nonlinear bending behavior and geometric sensitivities for tubular beams with fixed supports</t>
  </si>
  <si>
    <t>In this study, the bending characteristics of thin-walled (D/t=30) tubular beams with fixed supports are systematically investigated for different beam lengths and diameters. Bending behavior of the beam is simulated using the finite element method, in which elasto-plastic material, large-deformation and contact are included. Stress distribution is monitored by FE analyses during bending simulation. Also, load carrying and energy absorption capacities of the tubular beams having different geometrical combinations are compared with each other. The results of finite element (FE) analyses indicate that the deformation characteristics and load carrying capacities of the beam strongly depend on the diameter. From the load-displacement curve, three distinct regions were observed and the associated deformation characteristics were identified. There is a noticeable correlation between the energy absorption and transition displacements for the ranges of geometric parameters coved in this study. It is concluded that the presented simulation results can provide significant contribution to the design of side-door impact beams and passive safety research. (C) 2011 Elsevier Ltd. All rights reserved.</t>
  </si>
  <si>
    <t>10.1016/j.tws.2011.10.016</t>
  </si>
  <si>
    <t>Ayhan, AO; Genel, K; Eksi, S</t>
  </si>
  <si>
    <t>Ayhan, A. O.; Genel, K.; Eksi, S.</t>
  </si>
  <si>
    <t>THIN-WALLED STRUCTURES</t>
  </si>
  <si>
    <t>Thin-walled structure; Bending; Plasticity; Contact; Finite elements</t>
  </si>
  <si>
    <t>WALLED CIRCULAR TUBES; COLLAPSE ANALYSIS</t>
  </si>
  <si>
    <t>[Genel, K.; Eksi, S.] Sakarya Univ, Dept Mech Engn, TR-54187 Sakarya, Turkey; [Ayhan, A. O.] Yildiz Tech Univ, Dept Mech Engn, Istanbul, Turkey</t>
  </si>
  <si>
    <t>Sakarya University; Yildiz Technical University</t>
  </si>
  <si>
    <t>Genel, K (corresponding author), Sakarya Univ, Dept Mech Engn, TR-54187 Sakarya, Turkey.</t>
  </si>
  <si>
    <t>kgenel@sakarya.edu.tr</t>
  </si>
  <si>
    <t>Ekşi, Seçil/HRB-1764-2023; Ayhan, Ali O/HTO-0202-2023</t>
  </si>
  <si>
    <t>Ekşi, Seçil/0000-0002-1404-718X; Ayhan, Ali O/0000-0002-1023-4914</t>
  </si>
  <si>
    <t>The Scientific and Technological Research Council of Turkey (TUBITAK); Commission for Scientific and Research Projects of Sakarya University (BAP)</t>
  </si>
  <si>
    <t>The Scientific and Technological Research Council of Turkey (TUBITAK)(Turkiye Bilimsel ve Teknolojik Arastirma Kurumu (TUBITAK)); Commission for Scientific and Research Projects of Sakarya University (BAP)(Sakarya University)</t>
  </si>
  <si>
    <t>The financial support by The Scientific and Technological Research Council of Turkey (TUBITAK) and Commission for Scientific and Research Projects of Sakarya University (BAP) in method development and carrying out the applications presented in this study is gratefully acknowledged.</t>
  </si>
  <si>
    <t>0263-8231</t>
  </si>
  <si>
    <t>1879-3223</t>
  </si>
  <si>
    <t>THIN WALL STRUCT</t>
  </si>
  <si>
    <t>Thin-Walled Struct.</t>
  </si>
  <si>
    <t>Engineering, Civil; Engineering, Mechanical; Mechanics</t>
  </si>
  <si>
    <t>Engineering; Mechanics</t>
  </si>
  <si>
    <t>897KV</t>
  </si>
  <si>
    <t>WOS:000300650500001</t>
  </si>
  <si>
    <t>Biodegradable Antimicrobial Food Packaging: Trends and Perspectives</t>
  </si>
  <si>
    <t>This review presents a perspective on the research trends and solutions from recent years in the domain of antimicrobial packaging materials. The antibacterial, antifungal, and antioxidant activities can be induced by the main polymer used for packaging or by addition of various components from natural agents (bacteriocins, essential oils, natural extracts, etc.) to synthetic agents, both organic and inorganic (Ag, ZnO, TiO2 nanoparticles, synthetic antibiotics etc.). The general trend for the packaging evolution is from the inert and polluting plastic waste to the antimicrobial active, biodegradable or edible, biopolymer film packaging. Like in many domains this transition is an evolution rather than a revolution, and changes are coming in small steps. Changing the public perception and industry focus on the antimicrobial packaging solutions will enhance the shelf life and provide healthier food, thus diminishing the waste of agricultural resources, but will also reduce the plastic pollution generated by humankind as most new polymers used for packaging are from renewable sources and are biodegradable. Polysaccharides (like chitosan, cellulose and derivatives, starch etc.), lipids and proteins (from vegetal or animal origin), and some other specific biopolymers (like polylactic acid or polyvinyl alcohol) have been used as single component or in blends to obtain antimicrobial packaging materials. Where the package's antimicrobial and antioxidant activities need a larger spectrum or a boost, certain active substances are embedded, encapsulated, coated, grafted into or onto the polymeric film. This review tries to cover the latest updates on the antimicrobial packaging, edible or not, using as support traditional and new polymers, with emphasis on natural compounds.</t>
  </si>
  <si>
    <t>10.3390/foods9101438</t>
  </si>
  <si>
    <t>Motelica, L; Ficai, D; Ficai, A; Oprea, OC; Kaya, DA; Andronescu, E</t>
  </si>
  <si>
    <t>Motelica, Ludmila; Ficai, Denisa; Ficai, Anton; Oprea, Ovidiu Cristian; Kaya, Durmus Alpaslan; Andronescu, Ecaterina</t>
  </si>
  <si>
    <t>FOODS</t>
  </si>
  <si>
    <t>biodegradable; polymeric nanocomposite; antimicrobial packaging; edible films; chitosan; starch; cellulose; polylactic acid; essential oils; nanoparticles toxicity</t>
  </si>
  <si>
    <t>DIOXIDE NANOCOMPOSITE FILM; CINNAMON ESSENTIAL OIL; POLYLACTIC ACID FILMS; PACIFIC WHITE SHRIMP; SHELF-LIFE EXTENSION; ANTIOXIDANT PROPERTIES; CHITOSAN FILMS; CARBOXYMETHYL CELLULOSE; ANTIBACTERIAL PROPERTIES; ZNO NANOPARTICLES</t>
  </si>
  <si>
    <t>[Motelica, Ludmila; Ficai, Denisa; Ficai, Anton; Oprea, Ovidiu Cristian; Andronescu, Ecaterina] Univ Politehn Bucuresti, Fac Appl Chem &amp; Mat Sci, Bucharest 060042, Romania; [Ficai, Anton; Andronescu, Ecaterina] Acad Romanian Scientists, Sect Chem Sci, Bucharest 050045, Romania; [Kaya, Durmus Alpaslan] Hatay Mustafa Kemal Univ, Fac Agr, Dept Field Crops, TR-31030 Antakya, Turkey</t>
  </si>
  <si>
    <t>Polytechnic University of Bucharest; Academy of Romanian Scientists (AOSR); Mustafa Kemal University</t>
  </si>
  <si>
    <t>Oprea, OC (corresponding author), Univ Politehn Bucuresti, Fac Appl Chem &amp; Mat Sci, Bucharest 060042, Romania.</t>
  </si>
  <si>
    <t>motelica_ludmila@yahoo.com; denisaficai@yahoo.ro; anton.ficai@upb.ro; ovidiu.oprea@upb.ro; dak1976@msn.com; ecaterina.andronescu@upb.ro</t>
  </si>
  <si>
    <t>Ficai, Denisa/Q-5449-2018; Ficai, Anton/B-3898-2011; Motelica, Ludmila/ABG-2499-2020; Ficai, Anton/ABD-1476-2022; Oprea, Ovidiu Cristian/F-1805-2011; KAYA, Durmus Alpaslan/T-4746-2019</t>
  </si>
  <si>
    <t>Ficai, Anton/0000-0002-1777-0525; Motelica, Ludmila/0000-0002-3371-4136; Ficai, Anton/0000-0002-1777-0525; Oprea, Ovidiu Cristian/0000-0002-8145-1094; KAYA, Durmus Alpaslan/0000-0003-3544-9214; Andronescu, Ecaterina/0000-0002-2226-5849; Ficai, Denisa/0000-0003-1243-6904</t>
  </si>
  <si>
    <t>Romanian Ministry of Research and Innovation, CCCDI-UEFISCDI [PN-III-P1-1.2-PCCDI-2017-0689/P1]</t>
  </si>
  <si>
    <t>Romanian Ministry of Research and Innovation, CCCDI-UEFISCDI(Consiliul National al Cercetarii Stiintifice (CNCS)Unitatea Executiva pentru Finantarea Invatamantului Superior, a Cercetarii, Dezvoltarii si Inovarii (UEFISCDI))</t>
  </si>
  <si>
    <t>This work was supported by a grant of the Romanian Ministry of Research and Innovation, CCCDI-UEFISCDI, project number PN-III-P1-1.2-PCCDI-2017-0689/P1. Lib2Life-Revitalizarea bibliotecilor si a patrimoniului cultural prin tehnologii avansate within PNCDI III.</t>
  </si>
  <si>
    <t>2304-8158</t>
  </si>
  <si>
    <t>Foods</t>
  </si>
  <si>
    <t>OO5XD</t>
  </si>
  <si>
    <t>WOS:000587450200001</t>
  </si>
  <si>
    <t>Monitoring of a Deep Excavation Supported by Anchored Retaining Walls</t>
  </si>
  <si>
    <t>Contiguous bored piles 80 cm in diameter with ground anchors were designed as retaining wall for a deep excavation. Inclinometers were utilized to monitor displacements. The maximum depth of excavation is 25 m, and the subsoils are composed of stiff clays with high plasticity. Design calculations were made by the two-dimensional finite element program Plaxis. The bored pile walls showed a fairly good displacement performance, being on the safe side under ordinary design conditions in which the ground anchors are perpendicular to the retaining walls. Diagonally positioned ground anchors were designed at a convex corner of the project to prevent the ground anchors from intersecting. Designing these diagonal ground anchors at the convex corner prevented stiff wall behaviour in this case. The deformation modulus is the key parameter for accurately predicting displacements. Back analyses of the retaining walls were executed based on measured displacements, and new deformation modulus values were found by using the actual displacements in Plaxis. These findings were compared with the deformation modulus values calculated by using some correlations based on the undrained shear strength given in the literature. Thus, correlations using the measured displacements of a deep excavation project are recommended for highly plastic clays.</t>
  </si>
  <si>
    <t>10.1007/s40098-021-00544-5</t>
  </si>
  <si>
    <t>Unver, M; Unver, IS</t>
  </si>
  <si>
    <t>Unver, Menguc; Unver, Inci Sut</t>
  </si>
  <si>
    <t>INDIAN GEOTECHNICAL JOURNAL</t>
  </si>
  <si>
    <t>Deep excavation; Bored pile wall; Ground anchor; Convex corner; Displacement; Deformation modulus</t>
  </si>
  <si>
    <t>[Unver, Menguc] Middle East Tech Univ, Mahatma Gandhi Cad 103, Cankaya, Turkey; [Unver, Inci Sut] Istanbul Tech Univ, Civil Engn Dept, ITU Ayazaga Campus, Maslak, Turkey</t>
  </si>
  <si>
    <t>Middle East Technical University; Istanbul Technical University</t>
  </si>
  <si>
    <t>Unver, M (corresponding author), Middle East Tech Univ, Mahatma Gandhi Cad 103, Cankaya, Turkey.</t>
  </si>
  <si>
    <t>argemltd@gmail.com; incisut79@hotmail.com</t>
  </si>
  <si>
    <t>0971-9555</t>
  </si>
  <si>
    <t>2277-3347</t>
  </si>
  <si>
    <t>INDIAN GEOTECH J</t>
  </si>
  <si>
    <t>Indian Geotech. J.</t>
  </si>
  <si>
    <t>Engineering, Geological</t>
  </si>
  <si>
    <t>ZC9US</t>
  </si>
  <si>
    <t>WOS:000655803700001</t>
  </si>
  <si>
    <t>Organophosphate induced delayed neuropathy: a case report</t>
  </si>
  <si>
    <t>In this paper, we present the case of a 27-year-old male patient who was admitted to our clinic with bilateral drop foot and spastic paraplegia after the ingestion of organophosphate (chlorpyrifos) and diagnosed with organophosphate induced delayed neuropathy (OPIDN). Patellar deep tendon reflexes were hyperactive, Achilles reflexes were absent, and patellar clonus were present bilaterally at the neurological examination. The results of electrophysiological studies were compatible with motor axonal polyneuropathy. The patient was admitted to the neurological rehabilitation program and was able to ambulate using a pair of plastic ankle-foot orthosis and walker. Six months after the baseline, Botulinum toxin type A was injected bilaterally to adductor magnus (100 U) and adductor longus (50 U) muscles. After the Botulinum toxin injection, spasticity of the hip adductor muscles was decreased from grade 4 to grade 3 according to the modified Ashworth scale. By the end of seven-month follow-up period, partial improvement was observed in the muscle strength of the patient, and he became independent in his daily activities. In this article, we discuss possible mechanisms of OPIDN, on the basis of clinical features and the rehabilitation process of a 27-year-old male patient diagnosed with OPIDN, with a review of the current literature.</t>
  </si>
  <si>
    <t>10.5606/tftrd.2017.13549</t>
  </si>
  <si>
    <t>Yalbuzdag, SA; Ince, B; Karatepe, AG; Sengul, I; Kaya, T</t>
  </si>
  <si>
    <t>Yalbuzdag, Seniz Akcay; Ince, Bugra; Karatepe, Altinay Goksel; Sengul, Ilker; Kaya, Taciser</t>
  </si>
  <si>
    <t>TURKIYE FIZIKSEL TIP VE REHABILITASYON DERGISI-TURKISH JOURNAL OF PHYSICAL MEDICINE AND REHABILITATION</t>
  </si>
  <si>
    <t>Neuropathy; organophosphate; paraplegia</t>
  </si>
  <si>
    <t>PESTICIDES</t>
  </si>
  <si>
    <t>[Yalbuzdag, Seniz Akcay; Ince, Bugra; Karatepe, Altinay Goksel; Sengul, Ilker; Kaya, Taciser] Izmir Bozyaka Training &amp; Res Hosp, Dept Phys Med &amp; Rehabil, Izmir, Turkey</t>
  </si>
  <si>
    <t>Izmir Bozyaka Training &amp; Research Hospital</t>
  </si>
  <si>
    <t>Yalbuzdag, SA (corresponding author), Izmir Bozyaka Egitim &amp; Arastirma Hastanesi, Fiziksel Tip &amp; Rehabil Klin, TR-35170 Izmir, Turkey.</t>
  </si>
  <si>
    <t>senizakcay@hotmail.com</t>
  </si>
  <si>
    <t>Akcay, Seniz/ABH-7247-2020; Kaya, Taciser/ABH-5966-2020; Şengül, İlker/K-8086-2018; Goksel Karatepe, Altınay/HIZ-7364-2022; Ince, Bugra/AAW-5742-2021; Goksel Karatepe, Altınay/HJY-6787-2023</t>
  </si>
  <si>
    <t xml:space="preserve">Kaya, Taciser/0000-0002-8848-8420; Şengül, İlker/0000-0002-7675-7814; Ince, Bugra/0000-0001-7467-4073; </t>
  </si>
  <si>
    <t>BAYCINAR MEDICAL PUBL-BAYCINAR TIBBI YAYINCILIK</t>
  </si>
  <si>
    <t>ATASEHIR</t>
  </si>
  <si>
    <t>ORNEK MH DR SUPHI EZGI SK SARAY APT NO 11 D 6, ATASEHIR, ISTANBUL 34704, TURKEY</t>
  </si>
  <si>
    <t>1302-0234</t>
  </si>
  <si>
    <t>1308-6316</t>
  </si>
  <si>
    <t>TURK FIZ TIP REHAB D</t>
  </si>
  <si>
    <t>Turk. Fiz. Tip Rehabil. Derg.</t>
  </si>
  <si>
    <t>Rehabilitation</t>
  </si>
  <si>
    <t>EU0SX</t>
  </si>
  <si>
    <t>WOS:000400722700014</t>
  </si>
  <si>
    <t>The landslides threatening Tasova town (Central Anatolia, Turkey) and their environmental impacts</t>
  </si>
  <si>
    <t>There exist a number of landslides along the north Anatolian fault zone (NAFZ) between Tasova and Alparslan in Amasya province in Turkey. These landslides extending over an area of 2.5 x 6.0 km are triggered by steepening of slopes due to undercutting by the Yesilirmak River and groundwater fluctuations. The landslides have affected 30 buildings in the western part of Tasova. In this study, in order to investigate the engineering geological characteristics of the landslides and their environmental impacts, representative samples from geological units were collected and a total of six boreholes were drilled. Plastic pipes were installed into the boreholes to measure the groundwater fluctuations and to determine the position of the sliding surface. For a two-year monitoring period, using a GPS linked to a fixed station system, the magnitude of the movements ranged between 11.7 and 17.6 cm at the toe of landslide. The landslides that occurred in the study area were in the form of retrogressive circular and multiple circular failures. The factor of safety along a number of cross-sections calculated by the limit-equilibrium method of analysis is 0.96 in static condition. After further analyses, construction of a toe buttress with surface drainage may be suggested as a remedial measure to minimize the effects of these landslides.</t>
  </si>
  <si>
    <t>10.1007/s00254-007-0974-5</t>
  </si>
  <si>
    <t>Bilgehan, RP; Kilic, R</t>
  </si>
  <si>
    <t>Bilgehan, R. Pelin; Kilic, Recep</t>
  </si>
  <si>
    <t>[Kilic, Recep] Ankara Univ, Fac Engn, Dept Geol Engn, TR-06100 Ankara, Turkey; [Bilgehan, R. Pelin] Aksaray Univ, Fac Engn, Dept Geol Engn, Aksaray, Turkey</t>
  </si>
  <si>
    <t>Ankara University; Aksaray University</t>
  </si>
  <si>
    <t>Kilic, R (corresponding author), Ankara Univ, Fac Engn, Dept Geol Engn, TR-06100 Ankara, Turkey.</t>
  </si>
  <si>
    <t>rkilic@eng.ankara.edu.tr</t>
  </si>
  <si>
    <t>309PY</t>
  </si>
  <si>
    <t>WOS:000256473900018</t>
  </si>
  <si>
    <t>Whey protein protects liver mitochondrial function against oxidative stress in rats exposed to acrolein</t>
  </si>
  <si>
    <t>Acrolein (AC) is one of the most toxic environmental pollutants, often associated with incomplete combustion of petrol, wood, and plastic, oil frying, and tobacco smoking, that causes oxidative damage to DNA and mitochondria. Considering that little is known about the protective effects of whey protein (WP) against AC-induced liver toxicity, the aim of our study was to learn more about them in respect to liver mitochondrial oxidative stress, respiratory enzymes, Krebs cycle enzymes, and adenosine triphosphate (ATP). To do that, we treated Sprague Dawley rats with daily doses of AC alone (5 mg/kg bw in 0.9 % NaCl solution), WP alone (200 mg/kg bw, in 0.9 % NaCl solution), or their combination by oral gavage for six days a week over 30 days. As expected, the AC group showed a drop in glutathione levels and antioxidant, transport chain, and tricarboxylic acid cycle enzyme activities and a significant rise in mitochondrial lipid peroxidation and protein carbonyl levels. Co-treatment with WP mitigated oxidative stress and improved enzyme activities. Judging by the measured parameters, WP reduced AC toxicity by improving bioenergetic mechanisms and eliminating oxidative stress.</t>
  </si>
  <si>
    <t>10.2478/aiht-2022-73-3640</t>
  </si>
  <si>
    <t>Aydin, B; Oguz, A; Sekeroglu, V; Sekeroglu, ZA</t>
  </si>
  <si>
    <t>Aydin, Birsen; Oguz, Ali; Sekeroglu, Vedat; Sekeroglu, Zulal Atli</t>
  </si>
  <si>
    <t>ARHIV ZA HIGIJENU RADA I TOKSIKOLOGIJU-ARCHIVES OF INDUSTRIAL HYGIENE AND TOXICOLOGY</t>
  </si>
  <si>
    <t>antioxidants; glutathione; oxidative phosphorylation enzymes; tricarboxylic acid cycle enzymes</t>
  </si>
  <si>
    <t>ISOCITRATE DEHYDROGENASE; CYTOTOXICITY; GLUTATHIONE; DYSFUNCTION; RELEVANCE; MODEL; DIET</t>
  </si>
  <si>
    <t>[Aydin, Birsen; Oguz, Ali] Amasya Univ, Dept Biol, Fac Sci, Amasya, Turkey; [Sekeroglu, Vedat; Sekeroglu, Zulal Atli] Ordu Univ, Dept Mol Biol &amp; Genet, Fac Sci &amp; Letters, TR-52200 Ordu, Turkey</t>
  </si>
  <si>
    <t>Amasya University; Ordu University</t>
  </si>
  <si>
    <t>Sekeroglu, ZA (corresponding author), Ordu Univ, Dept Mol Biol &amp; Genet, Fac Sci &amp; Letters, TR-52200 Ordu, Turkey.</t>
  </si>
  <si>
    <t>zulalatli@hotmail.com</t>
  </si>
  <si>
    <t>ŞEKEROĞLU, Vedat/Q-2128-2015; Sekeroglu, Zulal Atli/M-3525-2013</t>
  </si>
  <si>
    <t>ŞEKEROĞLU, Vedat/0000-0002-8547-6571; Sekeroglu, Zulal Atli/0000-0002-3552-3819</t>
  </si>
  <si>
    <t>Scientific Research Fund of Amasya University (Turkey) [FBM-BAP-14-068-2014]</t>
  </si>
  <si>
    <t>Scientific Research Fund of Amasya University (Turkey)</t>
  </si>
  <si>
    <t>This study was supported by the Scientific Research Fund of Amasya University (Turkey) under the grant number FBM-BAP-14-068-2014.</t>
  </si>
  <si>
    <t>SCIENDO</t>
  </si>
  <si>
    <t>WARSAW</t>
  </si>
  <si>
    <t>BOGUMILA ZUGA 32A, WARSAW, MAZOVIA, POLAND</t>
  </si>
  <si>
    <t>0004-1254</t>
  </si>
  <si>
    <t>1848-6312</t>
  </si>
  <si>
    <t>ARH HIG RADA TOKSIKO</t>
  </si>
  <si>
    <t>Arh. Hig. Rada. Toksikol.</t>
  </si>
  <si>
    <t>SEP 30</t>
  </si>
  <si>
    <t>Public, Environmental &amp; Occupational Health; Toxicology</t>
  </si>
  <si>
    <t>5G2UY</t>
  </si>
  <si>
    <t>WOS:000866860400003</t>
  </si>
  <si>
    <t>A new approach to nanocomposite carbohydrate polymer films: Levan and chia seed mucilage</t>
  </si>
  <si>
    <t>Plastic pollution is increasing day by day and the search for new, environmentally friendly products continues. Herein, for the first time, different degrees of mucilage were obtained from chia seeds and the film-forming behavior of levan biopolymer with these mucilages was investigated. Glycerol and sorbitol were used as plasticizers in the film design. Films prepared with sorbitol were characterized physically, mechanically and morphologically. The antioxidant and antimicrobial effects of the films were examined. The films formed as nanocomposites of levan and chia seed mucilages obtained at different temperatures (25 degrees C, 55 degrees C and 80 degrees C) exhibited structurally and mechanically different properties. It was observed that the films obtained with chia mucilages and levan preserved their antibacterial properties but lost their antifungal properties. In addition, quorum sensing property of the mucilage obtained at 55 degrees C during the investigation of the antibacterial property was reported for the first time with this study. The levan-based chia seed mucilages films obtained have the potential to be used in industrial and medical fields, and the nature-friendly nature of these films is very important for our green world.</t>
  </si>
  <si>
    <t>10.1016/j.ijbiomac.2022.07.157</t>
  </si>
  <si>
    <t>Agceli, GK</t>
  </si>
  <si>
    <t>Agceli, Gozde Kosarsoy</t>
  </si>
  <si>
    <t>INTERNATIONAL JOURNAL OF BIOLOGICAL MACROMOLECULES</t>
  </si>
  <si>
    <t>Levan; Chia seed musilage; Nanocomposite; Edible film; Antimicrobial; Antioxidant</t>
  </si>
  <si>
    <t>SALVIA-HISPANICA; PHYSICOCHEMICAL PROPERTIES; PROTEIN; STARCH; BACTERIA</t>
  </si>
  <si>
    <t>[Agceli, Gozde Kosarsoy] Hacettepe Univ, Dept Biol, Fac Sci, Beytepe Campus, TR-06800 Ankara, Turkey</t>
  </si>
  <si>
    <t>Hacettepe University</t>
  </si>
  <si>
    <t>Agceli, GK (corresponding author), Hacettepe Univ, Dept Biol, Fac Sci, Beytepe Campus, TR-06800 Ankara, Turkey.</t>
  </si>
  <si>
    <t>gozdekosarsoy@gmail.com</t>
  </si>
  <si>
    <t>0141-8130</t>
  </si>
  <si>
    <t>1879-0003</t>
  </si>
  <si>
    <t>INT J BIOL MACROMOL</t>
  </si>
  <si>
    <t>Int. J. Biol. Macromol.</t>
  </si>
  <si>
    <t>Biochemistry &amp; Molecular Biology; Chemistry, Applied; Polymer Science</t>
  </si>
  <si>
    <t>Biochemistry &amp; Molecular Biology; Chemistry; Polymer Science</t>
  </si>
  <si>
    <t>6V9AG</t>
  </si>
  <si>
    <t>WOS:000895330400005</t>
  </si>
  <si>
    <t>Highly sensitive fiber optic pressure sensors for wind turbine applications</t>
  </si>
  <si>
    <t>Fiber optic pressure sensors utilizing ultra-high sensitive fiber loop ringdown (FLRD) spectroscopy were fabricated using a bare single mode fiber. The fiber optic pressure sensors were applied to monitor pressure change on a plastic pipe embedded into a sea sand filled container in laboratory conditions to simulate a tower. As the pressure applied to the sensor head was changed from 66.4 kPa to 331.6 kPa, changes in the ringdown time (RDT) were recorded. The lowest baseline stability of 0.20% was obtained in these simple FLRD pressure sensors. The minimum detectable optical loss was 992 mu dB. The results showed that FLRD pressure sensors tested by applying to a pipe embedded into sea sand simulating a tower are highly sensitive and have high potential to be applicable for monitoring wind turbine components such as blades and towers in the sea or on land to determine the pressure on structures due to damage, excessive waves, or strong winds. The study also suggests that this type of FLRD pressure sensor can be utilized for the purpose of early detection in other important structures such as dams, buildings, and bridges.</t>
  </si>
  <si>
    <t>10.3906/elk-2003-69</t>
  </si>
  <si>
    <t>Kaya, M; Esenturk, O</t>
  </si>
  <si>
    <t>Kaya, Malik; Esenturk, Okan</t>
  </si>
  <si>
    <t>TURKISH JOURNAL OF ELECTRICAL ENGINEERING AND COMPUTER SCIENCES</t>
  </si>
  <si>
    <t>Fiber optic sensor; pressure sensor; wind turbines; fiber loop ringdown spectroscopy; spectroscopic technique</t>
  </si>
  <si>
    <t>MONITORING-SYSTEM; LOOP RINGDOWN; INDEX SENSORS; DEFLECTION; STRAIN</t>
  </si>
  <si>
    <t>[Kaya, Malik] Eskisehir Osmangazi Univ, Vocat Sch Hlth Serv, Eskisehir, Turkey; [Esenturk, Okan] Middle East Tech Univ, Fac Arts &amp; Sci, Dept Chem, Ankara, Turkey</t>
  </si>
  <si>
    <t>Eskisehir Osmangazi University; Middle East Technical University</t>
  </si>
  <si>
    <t>Kaya, M (corresponding author), Eskisehir Osmangazi Univ, Vocat Sch Hlth Serv, Eskisehir, Turkey.</t>
  </si>
  <si>
    <t>malikkaya@ogu.edu.tr</t>
  </si>
  <si>
    <t>Esenturk, Okan/A-7037-2018</t>
  </si>
  <si>
    <t>Esenturk, Okan/0000-0001-6539-4344</t>
  </si>
  <si>
    <t>Middle East Technical University (METU)</t>
  </si>
  <si>
    <t>This work was supported by Middle East Technical University (METU) research funding.</t>
  </si>
  <si>
    <t>1300-0632</t>
  </si>
  <si>
    <t>1303-6203</t>
  </si>
  <si>
    <t>TURK J ELECTR ENG CO</t>
  </si>
  <si>
    <t>Turk. J. Electr. Eng. Comput. Sci.</t>
  </si>
  <si>
    <t>Computer Science, Artificial Intelligence; Engineering, Electrical &amp; Electronic</t>
  </si>
  <si>
    <t>Computer Science; Engineering</t>
  </si>
  <si>
    <t>NY9CU</t>
  </si>
  <si>
    <t>WOS:000576682500011</t>
  </si>
  <si>
    <t>An assessment of ensiling potential in maize x legume (soybean and cowpea) binary mixtures for yield and feeding quality</t>
  </si>
  <si>
    <t>In this study, maize and legume intercropping were evaluated in terms of silage yield and quality. Maize (Zea mays L. M) was intercropped with soybean (Glycine max L. S) and cowpea (Vigna unguiculata L. C) as binary mixtues (maize + legume), and the seed rates were as follows: 100 + 0%, 75 + 25%, 50 + 50% and 25 + 75%. The harvested plants were chopped with the particle size of &lt; 2, ensiled in 2 kg plastic jars and left fermentation at 25 +/- 2 degrees C for 45 days. In this study, silage yield, dry matter ratio, pH value, crude protein ratio, acid detergent fiber, neutral detergent fiber, digestibility of dry matter, dry matter intake, total digestibil nutrient relative feed values, lactic acid, acetic acid, butyric acid, malic acid, citric acid, succinic acid, oxalic acid, potassium, phosphorus, calcium, and magnesium contents were determined. All the M + S mixtures showed high performance in terms of Flieg score and lactic acid content. The highest relative feed quality value was determined in the sole cowpea (156.4) and 25M + 75S% (148.5) mixture. As a result, intercropping maize with legumes resulted in superior silage quality without a reduction in yield.</t>
  </si>
  <si>
    <t>10.3906/vet-2006-43</t>
  </si>
  <si>
    <t>Gulumser, E; Mut, H; Basaran, U; Copur Dogrusoz, M</t>
  </si>
  <si>
    <t>Gulumser, Erdem; Mut, Hanife; Basaran, Ugur; Copur Dogrusoz, Medine</t>
  </si>
  <si>
    <t>TURKISH JOURNAL OF VETERINARY &amp; ANIMAL SCIENCES</t>
  </si>
  <si>
    <t>Silage; mixture; yield; quality</t>
  </si>
  <si>
    <t>ORGANIC-ACIDS; FIBROUS FEEDS; MALIC-ACID; FERMENTATION; PERFORMANCE; DETERGENTS; STABILITY; SORGHUM; SILAGE; FIBER</t>
  </si>
  <si>
    <t>[Gulumser, Erdem; Mut, Hanife] Bilec Seyh Edebali Univ, Dept Field Crops, Fac Agr &amp; Nat Sci, Bilecik, Turkey; [Basaran, Ugur; Copur Dogrusoz, Medine] Yozgat Bozok Univ, Dept Field Crops, Fac Agr, Yozgat, Turkey</t>
  </si>
  <si>
    <t>Bilecik Seyh Edebali University; Bozok University</t>
  </si>
  <si>
    <t>Gulumser, E (corresponding author), Bilec Seyh Edebali Univ, Dept Field Crops, Fac Agr &amp; Nat Sci, Bilecik, Turkey.</t>
  </si>
  <si>
    <t>basaran, ugur/0000-0002-6644-5892; Gulumser, Erdem/0000-0001-6291-3831</t>
  </si>
  <si>
    <t>Bilecik Seyh Edebali University Project Management Office [2018-01.BSEU.0602]</t>
  </si>
  <si>
    <t>Bilecik Seyh Edebali University Project Management Office(Bilecik Seyh Edebali University)</t>
  </si>
  <si>
    <t>The authors wish to thank the Bilecik Seyh Edebali University Project Management Office for financial support of this project under Grant No.2018-01.BSEU.0602. This text has been proofread and edited by the School of Foreign Languages, Bilecik Seyh Edebali University.</t>
  </si>
  <si>
    <t>1300-0128</t>
  </si>
  <si>
    <t>TURK J VET ANIM SCI</t>
  </si>
  <si>
    <t>Turk. J. Vet. Anim. Sci.</t>
  </si>
  <si>
    <t>TH0CW</t>
  </si>
  <si>
    <t>WOS:000671763300021</t>
  </si>
  <si>
    <t>Effects of a bacterial silage inoculant on corn silage fermentation and nutrient digestibility</t>
  </si>
  <si>
    <t>Two type silage were prepared, the control had no additives and the other silage with a bacterial inoculant (BONSILAGE(R). Both of them were stored in 100 kg capacity plastic containers for two months and silage pH, organic acids and nutrient digestibility were investigated. In control and inoculated silage pH were 3.90 and 3.63 (P &lt; 0.05), amount of lactic acid 16.75 and 22.45 9 kg(-1) DM (P &lt; 0.05), acetic acid 49.48 and 51.65 g kg(-1) DM, and butyric acid 7.12 and 5.44 g kg(-1) DM (P &lt; 0.05), respectively. Eight Morkaraman sheeps, 2 years old, were used to determine nutrient digestibility of corn silages. In control and inoculated silages, the degrees of digestibility of DM were 59.73, 68.53%, OM 64.10, 66.95%, CP 48.39, 50.30%, NDF 63.35, 66.11%, and ADF 55.33, 59.35%. In conclusion, corn silage fermentation and digestibility of DM and NDF were increased (P &lt; 0.05) by the bacterial inoculation (C) 2004 Elsevier B.V. All rights reserved.</t>
  </si>
  <si>
    <t>10.1016/j.smallrumres.2003.12.012</t>
  </si>
  <si>
    <t>Aksu, T; Baytok, E; Bolat, D</t>
  </si>
  <si>
    <t>SMALL RUMINANT RESEARCH</t>
  </si>
  <si>
    <t>corn silage; bacterial inoculant; silage fermentation; digestibility in sheep</t>
  </si>
  <si>
    <t>LACTIC-ACID BACTERIA; LOW DRY-MATTER; BEEF-CATTLE; FORMIC-ACID; MICROBIAL INOCULATION; NUTRITIVE-VALUE; GRASS; PERFORMANCE; ADDITIVES; PRESERVATION</t>
  </si>
  <si>
    <t>Univ Mustafa Kemal, Fac Med Vet, Dept Anim Nutr, TR-31040 Hatay, Turkey; Univ Yuzuncu Yil, Fac Med Vet, Dept Anim Nutr, TR-65080 VAN, Turkey</t>
  </si>
  <si>
    <t>Mustafa Kemal University; Yuzuncu Yil University</t>
  </si>
  <si>
    <t>Aksu, T (corresponding author), Univ Mustafa Kemal, Fac Med Vet, Dept Anim Nutr, TR-31040 Hatay, Turkey.</t>
  </si>
  <si>
    <t>taylanaksu@hotmail.com</t>
  </si>
  <si>
    <t>0921-4488</t>
  </si>
  <si>
    <t>SMALL RUMINANT RES</t>
  </si>
  <si>
    <t>Small Ruminant Res.</t>
  </si>
  <si>
    <t>849AD</t>
  </si>
  <si>
    <t>WOS:000223508700032</t>
  </si>
  <si>
    <t>Preparation of chitosan, sunflower and nano-iron based core shell and its use in dye removal</t>
  </si>
  <si>
    <t>Many industries, such as textiles, chemical refineries, leather, plastics and paper, use different dyes in various process steps. At the same time, these industrial sectors are responsible for discharging contaminants that are harmful and toxic to humans and microorganisms by introducing synthetic dyes into wastewater. Of these dyes, methylene blue dye, which is classified as basic dyes, is accepted as a model dye. For this reason, methylene blue dye was selected in the study and its removal from the water was studied. In this study, two efficient biosorbents were developed from chitosan and sunflower waste, an agro-industrial waste and modified using iron nanoparticles. The biosorption efficiency was evaluated for methylene blue (MB) dye removal from aqueous solution under various parameters such as treating agent, solution pH, biosorbent dosage, contact time, initial dye concentration and temperature. We investigated the kinetic properties of dye removal from water for Chitosan-Sunflower (CS), Chitosan-Sunflower-Nanoiron (CSN). When the wavelength of MB dye was spectrophotometrically scanned, the maximum absorbance was determined as 660 nm. For the core shell biosorbents we obtained, we found that the optimum time for removal of MB from wastewater was 60 min. The pH of the best pH was determined as 5 in the studied pH. The most suitable temperature for the experiment was determined as 30 degrees C. SEM-EDAX, TEM, XRD, and FTIR techniques were used to characterize biosorbents produced and modified in the experimental stage and to monitor the change of biosorbent after dye removal. The interactions of the paint with the surface used for removal were explained by these techniques. It was calculated that 80% of CS and 88% of CSN removed MB in optimum conditions. Also, the absorption of MB dye onto the surface was investigated by Langmiur and Frendlinch isotherms and it was determined from the results that the removal was more compatible with Langmiur isotherm.</t>
  </si>
  <si>
    <t>10.12989/aer.2020.9.2.135</t>
  </si>
  <si>
    <t>Turgut, E; Alayli, A; Nadaroglu, H</t>
  </si>
  <si>
    <t>Turgut, Esra; Alayli, Azize; Nadaroglu, Hayrunnisa</t>
  </si>
  <si>
    <t>ADVANCES IN ENVIRONMENTAL RESEARCH-AN INTERNATIONAL JOURNAL</t>
  </si>
  <si>
    <t>core shell; sunflower; chitosan; nanoiron; biosorbent; methylene blue</t>
  </si>
  <si>
    <t>TEXTILE WASTE-WATER; BASIC RED 9; METHYLENE-BLUE; ADSORPTION-ISOTHERMS; GREEN; NANOPARTICLES; ADSORBENTS; PALM</t>
  </si>
  <si>
    <t>[Turgut, Esra; Alayli, Azize; Nadaroglu, Hayrunnisa] Ataturk Univ, Fac Engn, Dept Nanosci &amp; Nanoengn, TR-25240 Erzurum, Turkey; [Alayli, Azize] Sakarya Univ Appl Sci, Fac Hlth Sci, Dept Nursing, TR-54187 Sakarya, Turkey; [Nadaroglu, Hayrunnisa] Ataturk Univ, Vocat Sch Tech Sci, Dept Food Technol, TR-25240 Erzurum, Turkey</t>
  </si>
  <si>
    <t>Ataturk University; Sakarya University of Applied Science; Ataturk University</t>
  </si>
  <si>
    <t>Turgut, E (corresponding author), Ataturk Univ, Fac Engn, Dept Nanosci &amp; Nanoengn, TR-25240 Erzurum, Turkey.</t>
  </si>
  <si>
    <t>esraturgut034@gmail.com</t>
  </si>
  <si>
    <t>Nadaroğlu, Hayrunnisa/AAJ-6126-2021</t>
  </si>
  <si>
    <t>Nadaroğlu, Hayrunnisa/0000-0002-0536-4212</t>
  </si>
  <si>
    <t>TECHNO-PRESS</t>
  </si>
  <si>
    <t>DAEJEON</t>
  </si>
  <si>
    <t>PO BOX 33, YUSEONG, DAEJEON 305-600, SOUTH KOREA</t>
  </si>
  <si>
    <t>2234-1722</t>
  </si>
  <si>
    <t>2234-1730</t>
  </si>
  <si>
    <t>AD ENVIRON RES</t>
  </si>
  <si>
    <t>Ad. Environ. Res.</t>
  </si>
  <si>
    <t>MS7YC</t>
  </si>
  <si>
    <t>WOS:000554490300004</t>
  </si>
  <si>
    <t>Therapeutic applications of the larvae for wound debridement</t>
  </si>
  <si>
    <t>It has been known for centuries that application of larvae is useful to heal certain wounds by facilitating debridement of necrotic tissue. Their therapeutic use was popularised in the beginning of the 19th century, but waned in the 1940s with the advent of antiseptic wound management and antibiotics. In more recent years, larvae are once again in vogue for management of difficult wounds. The mechanism of wound debridement by larvae includes the complete wound by continuous larval motion, secretion of proteolytic enzymes and antibacterial substances, effects on epidermal growth factor and interleukin-6 (IL-6) and ingestion and digestion of bacteria and necrotic tissue. In our study, wound debridement was achieved satisfactorily in 29 of 34 patients (85%) with chronic wounds. In the remaining five patients, failures occurred due to inadequate sealing in two patients (6%), death of larvae in two patients (6%) and treatment intolerance in one patient (3%). Larval therapy should be considered as a therapeutic option in the management of certain difficult wounds. (C) 2008 British Association of Plastic, Reconstructive and Aesthetic Surgeons. Published by Elsevier Ltd. All rights reserved.</t>
  </si>
  <si>
    <t>10.1016/j.bjps.2008.08.070</t>
  </si>
  <si>
    <t>Turkmen, A; Graham, K; McGrouther, DA</t>
  </si>
  <si>
    <t>Turkmen, Arif; Graham, Ken; McGrouther, D. A.</t>
  </si>
  <si>
    <t>JOURNAL OF PLASTIC RECONSTRUCTIVE AND AESTHETIC SURGERY</t>
  </si>
  <si>
    <t>Larvae; Larval therapy; Maggots; Chronic wounds; Wound debridement</t>
  </si>
  <si>
    <t>SURGICAL MAGGOTS; SERICATA</t>
  </si>
  <si>
    <t>[Turkmen, Arif] Gaziantep Univ, Fac Med, Dept Plast Surg, TR-27300 Gaziantep, Turkey; [Graham, Ken] Whiston Hosp, Dept Plast Surg, Liverpool, Merseyside, England; [McGrouther, D. A.] Univ S Manchester Hosp, Dept Plast Surg, Manchester M23 9LT, Lancs, England</t>
  </si>
  <si>
    <t>Gaziantep University; Whiston Hospital; Wythenshawe Hospital NHS Foundation Trust; Wythenshawe Hospital</t>
  </si>
  <si>
    <t>Turkmen, A (corresponding author), Gaziantep Univ, Fac Med, Dept Plast Surg, TR-27300 Gaziantep, Turkey.</t>
  </si>
  <si>
    <t>turkmenarif@yahoo.com</t>
  </si>
  <si>
    <t>Turkmen, Arif/AAS-8843-2020</t>
  </si>
  <si>
    <t>Turkmen, Arif/0000-0001-8774-830X</t>
  </si>
  <si>
    <t>1748-6815</t>
  </si>
  <si>
    <t>1878-0539</t>
  </si>
  <si>
    <t>J PLAST RECONSTR AES</t>
  </si>
  <si>
    <t>J. Plast. Reconstr. Aesthet. Surg.</t>
  </si>
  <si>
    <t>536YA</t>
  </si>
  <si>
    <t>WOS:000273078600030</t>
  </si>
  <si>
    <t>Fate and effects of polyethylene terephthalate (PET) microplastics during anaerobic digestion of alkaline-thermal pretreated sludge</t>
  </si>
  <si>
    <t>Plastics are resilient, hard to degrade materials that can persist in nature for centuries. Microplastics (MPs) exhibit similar tough character and hold the potential to harm marine and terrestrial ecosystems upon their release into the environment. Most modern wastewater treatment plants remove MPs from wastewater with over 90% efficiency but unfortunately concentrate them in sludge. Recent studies have reported MPs' impact on the performance of sludge treatment systems, including anaerobic digesters. Despite its resilience, polyethylene terephthalate (PET) has inherent weaknesses against alkaline and thermal conditions and becomes more prone to further degradation if exposed to such stress conditions. Sludge pretreatment practices aiming to increase biogas production by disrupting floc structure show great similarity with the stress factors mentioned. Thus, this study aims to integrate pretreatment with anaerobic digestion and investigate the fate and effects of PET MPs during these processes. For this purpose, waste activated sludge samples spiked with different doses of PET (0, 1, 3, 6 mg/g TS) in sizes of 250-500 mu m were pretreated by 0.5 M alkali for two days and then thermally hydrolyzed at 127 degrees C for 120 min. Pretreated and unpretreated sludges were digested in a 60-day biochemical methane po-tential test. The results showed that the spiking of PET MPs into sludge posed a positive impact on the methane yield of unpretreated reactors at statistically significant levels. Integrating pretreatment increased the methane yield by 22.0% and made the impact of MPs on digester efficiency no longer observable. Also, PET exposed to pretreatment and 60-day digestion experienced remarkable changes in surface morphology, crystallinity and carbonyl index, which can further impact their fate and effects on the environment.</t>
  </si>
  <si>
    <t>10.1016/j.wasman.2022.09.016</t>
  </si>
  <si>
    <t>Hatinoglu, M. Dilara; Sanin, F. Dilek</t>
  </si>
  <si>
    <t>Alkaline pretreatment; Anaerobic digestion; Microplastics; Sludge; Thermal hydrolysis</t>
  </si>
  <si>
    <t>WASTE ACTIVATED-SLUDGE; WATER TREATMENT PLANTS; SEWAGE-SLUDGE; HYDROLYTIC DEGRADATION; METHANE PRODUCTION; SOLUBILIZATION; DISINTEGRATION</t>
  </si>
  <si>
    <t>[Hatinoglu, M. Dilara; Sanin, F. Dilek] Middle East Tech Univ, Dept Environm Engn, TR-06800 Ankara, Turkey; [Hatinoglu, M. Dilara] Univ Maine, Dept Civil &amp; Environm Engn, Orono, ME 04469 USA</t>
  </si>
  <si>
    <t>Middle East Technical University; University of Maine System; University of Maine Orono</t>
  </si>
  <si>
    <t>Hatinoglu, M. Dilara/0000-0002-9768-2380</t>
  </si>
  <si>
    <t>TUBITAK (The Scientific and Technological Research Council of Turkey);  [121Y156]</t>
  </si>
  <si>
    <t xml:space="preserve">TUBITAK (The Scientific and Technological Research Council of Turkey)(Turkiye Bilimsel ve Teknolojik Arastirma Kurumu (TUBITAK)); </t>
  </si>
  <si>
    <t>Acknowledgements The authors acknowledge the financial support from TUBITAK (The Scientific and Technological Research Council of Turkey) (Project #121Y156) .</t>
  </si>
  <si>
    <t>5J2ZX</t>
  </si>
  <si>
    <t>WOS:000868915000006</t>
  </si>
  <si>
    <t>An investigation of concrete stress-strain behavior by the image analysis method</t>
  </si>
  <si>
    <t>Concrete is a composite load-bearing building material. The deformation behavior of load-bearing materials under load is vital for the building system. Investigation of these brittle and quasi-brittle behavior patterns at various load levels provides an advantage in the evaluation of mechanical properties. In this study, the deformations occurring within the concrete samples in different stress-strain regions were investigated using an image analysis technique. The experimental samples experienced elastic-limit loading for two hours to clearly monitor the deformations at elastic, plastic, and breaking points. For the microstructure studies, the samples were prepared with epoxy for image analysis. Thin-sections were taken from each series of epoxy-impregnated concrete test samples, examined under a microscope, and photographed. Deformation studies on the digital photographs were carried out by the image analysis method. The results show that crack formation and crack types change because of increased stress and deformations. Crack formations within the concrete are parallel to the loading direction and occurred mainly in the aggregate-cementpaste interface. At 85% of the ultimate stress, crack length was measured as 0.665-29.505 mm and crack width 0.180-4.128 mm, while the crack length was 0.305-32.688 mm and crack width were 0.106-2.906 mm at fracture stress.</t>
  </si>
  <si>
    <t>10.7764/RDLC.20.2.308</t>
  </si>
  <si>
    <t>Pekgoz, M; Gunaydin, O; Gucluer, K</t>
  </si>
  <si>
    <t>Pekgoz, Mahfuz; Gunaydin, Osman; Gucluer, Kadir</t>
  </si>
  <si>
    <t>REVISTA DE LA CONSTRUCCION</t>
  </si>
  <si>
    <t>concrete; stress-strain behavior; microstructure; image analysis</t>
  </si>
  <si>
    <t>UNIAXIAL TENSION; DAMAGE; CRACKS; SIZE; ZONE; QUANTIFICATION; IDENTIFICATION; PARAMETERS; SHRINKAGE; STRENGTH</t>
  </si>
  <si>
    <t>[Pekgoz, Mahfuz] Karabuk Univ, Dept Civil Engn, TR-78000 Karabuk, Turkey; [Gunaydin, Osman] Adiyaman Univ, Dept Civil Engn, TR-02030 Adiyaman, Turkey; [Gucluer, Kadir] Adiyaman Univ, Dept Construct, Vocat Sch Tech Sci, TR-02030 Adiyaman, Turkey</t>
  </si>
  <si>
    <t>Karabuk University; Adiyaman University; Adiyaman University</t>
  </si>
  <si>
    <t>Pekgoz, M (corresponding author), Karabuk Univ, Dept Civil Engn, TR-78000 Karabuk, Turkey.</t>
  </si>
  <si>
    <t>mahfuzpekgoz@karabuk.edu.tr; gunaydin@adiyaman.edu.tr; kgucluer@adiyaman.edu.tr</t>
  </si>
  <si>
    <t>PONTIFICIA UNIV CATOLICA CHILE, ESCUELA CONSTRUCCION CIVIL</t>
  </si>
  <si>
    <t>SANTIAGO</t>
  </si>
  <si>
    <t>AV VICUNA MACKENNA 4860, SANTIAGO, 0000, CHILE</t>
  </si>
  <si>
    <t>0718-915X</t>
  </si>
  <si>
    <t>REV CONSTR</t>
  </si>
  <si>
    <t>Rev. Constr.</t>
  </si>
  <si>
    <t>Construction &amp; Building Technology; Engineering, Civil</t>
  </si>
  <si>
    <t>Construction &amp; Building Technology; Engineering</t>
  </si>
  <si>
    <t>UU3FJ</t>
  </si>
  <si>
    <t>WOS:000698685000008</t>
  </si>
  <si>
    <t>THE AWARENESS OF HEALTHY INDIVIDUALS ABOUT ATTRIBUTABLE RISK FACTORS OF CANCER</t>
  </si>
  <si>
    <t>Purpose: This study aimed to determine the awareness of healthy individuals about the attributable risk factors of cancer and investigate the consistency of their ideas.Material and Methods: A review of relevant literature was undertaken to assemble a list of possible causes of cancer. Seventy-six healthy individuals were interviewed. Individuals were asked to declare their opinion by scoring the potential 15 cancer risk factors between 0-4. One week later, the opinions were retaken to evaluate intra-rater reliability.Results: Individuals mostly agreed with the attributable risk factors including nuclear accident (96.0%), smoking (94.8%), stress (93.5%), having a family history of cancer (92.1%), alcohol (90.8%), air pollution (86.8%), plastic (84.2%), mobile phone use (79.0%), washing agents (77.7%), sunlight exposure (69.77%), occupational exposure (67.1%), being overweight (63.1%), infection (57.9%), fatigue (54.0%), except age (34.2%). All risk factors had significant intra-rater consistencies in different levels (fair to perfect) between the two-time points (p&lt;0.05).Conclusion: It was determined that 14 out of the 15 risk factors carried a cancer risk according to the individuals. The formation of sufficient awareness and acceptance of risk factors has revealed the necessity of raising awareness in the fight against cancer.</t>
  </si>
  <si>
    <t>10.30621/jbachs.1091746</t>
  </si>
  <si>
    <t>Keser, I; Ozdemir, K; Berguz, HU; Uysal, SA; Suner-Keklik, S; Yentur, SB; Aras, M</t>
  </si>
  <si>
    <t>Keser, Ilke; ozdemir, Kadirhan; Berguz, Hilal Utkan; Uysal, Songul Atasavun; Suner-Keklik, Sinem; Yentur, Songuel Baglan; Aras, Mukaddes</t>
  </si>
  <si>
    <t>Awareness; cancer; public health; risk</t>
  </si>
  <si>
    <t>MODIFIABLE FACTORS; BREAST-CANCER; MORTALITY; EXPOSURE; BURDEN; AGE; UK</t>
  </si>
  <si>
    <t>[ozdemir, Kadirhan] Gazi Univ, Fac Hlth Sci, Dept Physiotherapy &amp; Rehabil, Ankara, Turkiye; [ozdemir, Kadirhan] Izmir Bakircay Univ, Fac Hlth Sci, Dept Physiotherapy &amp; Rehabil, Izmir, Turkiye; [Berguz, Hilal Utkan; Aras, Mukaddes] Gazi Univ, Inst Hlth Sci, Dept Physiotherapy &amp; Rehabil, Ankara, Turkiye; [Uysal, Songul Atasavun] Hacettepe Univ, Fac Phys Therapy &amp; Rehabil, Dept Physiotherapy &amp; Rehabil, Ankara, Turkiye; [Suner-Keklik, Sinem] Sivas Cumhuriyet Univ, Fac Hlth Sci, Dept Physiotherapy &amp; Rehabil, Sivas, Turkiye; [Yentur, Songuel Baglan] Firat Univ, Fac Hlth Sci, Dept Physiotherapy &amp; Rehabil, Elazig, Turkiye</t>
  </si>
  <si>
    <t>Gazi University; Izmir University of Bakircay; Gazi University; Hacettepe University; Cumhuriyet University; Firat University</t>
  </si>
  <si>
    <t>Ozdemir, K (corresponding author), Gazi Univ, Fac Hlth Sci, Dept Physiotherapy &amp; Rehabil, Ankara, Turkiye.</t>
  </si>
  <si>
    <t>kadirhanozdemir@gmail.com</t>
  </si>
  <si>
    <t>Ozdemir, Kadirhan/ABC-8280-2020</t>
  </si>
  <si>
    <t>Ozdemir, Kadirhan/0000-0002-0486-6878; Atasavun Uysal, Songul/0000-0001-7334-411X</t>
  </si>
  <si>
    <t>8Z1MS</t>
  </si>
  <si>
    <t>WOS:000933151700026</t>
  </si>
  <si>
    <t>Using white spread and compound chocolate as phenolic compound delivering agent: A model study with black carrot extract</t>
  </si>
  <si>
    <t>This study examined the effect of black carrot extract (BCE), an important anthocyanin source, in the composition of different cocoa products (white spread and compound chocolate) with a factorial design. Water activity, moisture content, color, textural, sensory, melting, and flow behavior properties of the samples were determined. Total phenolic compounds and antioxidant capacity of samples were determined before and after in vitro digestion. Moisture content, particle size, hardness, a*, h degrees, yield stress, plastic viscosity values increased in compound chocolate samples significantly (p &lt; .05). Particle size, a*, and h degrees values increased in spread samples, but no significant effect on sensory properties was determined. BCE in compound chocolate caused a decrease in the sensory parameters. The bioaccessibility values for total phenolic compounds and antioxidant activity in both groups were determined as 125.5%-244.4% and 118.6%-255.8%, respectively. These values show BCE may be an important phenolic delivering agent without any intolerable quality character change. Novelty impact statement Black carrot extract (BCE) powder was used as a coloring agent and anthocyanin source. This study is the first study using BCE powder in the spread (SC) and compound chocolate (CC). In vitro bioaccessibility of total phenolic compounds was increased. BCE powder has the potential to improve the visual and functional properties of SC and CC.</t>
  </si>
  <si>
    <t>10.1111/jfpp.15392</t>
  </si>
  <si>
    <t>Baycar, A; Konar, N; Poyrazoglu, ES; Goktas, H; Sagdic, O</t>
  </si>
  <si>
    <t>Baycar, Abdullah; Konar, Nevzat; Poyrazoglu, Ender Sinan; Goktas, Hamza; Sagdic, Osman</t>
  </si>
  <si>
    <t>JOURNAL OF FOOD PROCESSING AND PRESERVATION</t>
  </si>
  <si>
    <t>[Baycar, Abdullah] Siirt Univ, Program Food Technol, Vocat Sch Tech Sci, TR-56100 Siirt, Turkey; [Konar, Nevzat] Eskisehir Osmangazi Univ, Agr Fac, Food Engn Dept, Eskisehir, Turkey; [Poyrazoglu, Ender Sinan] Siirt Univ, Fac Engn, Food Engn Dept, Siirt, Turkey; [Goktas, Hamza; Sagdic, Osman] Yildiz Tech Univ, Chem &amp; Met Engn Fac, Food Engn Dept, Istanbul, Turkey</t>
  </si>
  <si>
    <t>Siirt University; Eskisehir Osmangazi University; Siirt University; Yildiz Technical University</t>
  </si>
  <si>
    <t>Baycar, A (corresponding author), Siirt Univ, Program Food Technol, Vocat Sch Tech Sci, TR-56100 Siirt, Turkey.</t>
  </si>
  <si>
    <t>abaycar@siirt.edu.tr</t>
  </si>
  <si>
    <t>GÖKTAŞ, Hamza/A-4558-2019; Sagdic, Osman/AAX-3679-2020; Konar, Nevzat/Y-9527-2018</t>
  </si>
  <si>
    <t>GÖKTAŞ, Hamza/0000-0001-9802-9378; Sagdic, Osman/0000-0002-2063-1462; Konar, Nevzat/0000-0002-7383-3949; baycar, abdullah/0000-0003-4995-2275</t>
  </si>
  <si>
    <t>Siirt University Scientific Research Projects Office (BAP) [2020-SuMuH-026]</t>
  </si>
  <si>
    <t>Siirt University Scientific Research Projects Office (BAP)</t>
  </si>
  <si>
    <t>The authors would like to thank the Tayas Food Company (Kocaeli, Turkey) for the pilot production plant, which was used during sample preparation. The authors also would like to thank Siirt University Scientific Research Projects Office (BAP) [Project No. 2020-SuMuH-026] for their contribution to this research.</t>
  </si>
  <si>
    <t>0145-8892</t>
  </si>
  <si>
    <t>1745-4549</t>
  </si>
  <si>
    <t>J FOOD PROCESS PRES</t>
  </si>
  <si>
    <t>J. Food Process Preserv.</t>
  </si>
  <si>
    <t>e15392</t>
  </si>
  <si>
    <t>SF6EV</t>
  </si>
  <si>
    <t>WOS:000622414300001</t>
  </si>
  <si>
    <t>Environmental occurrence of phthalate and organophosphate esters in sediments across the Gulf of Lion (NW Mediterranean Sea)</t>
  </si>
  <si>
    <t>Seven phthalate (PAEs) and nine organophosphate esters (OPEs) were measured in surface sediments across the Gulf of Lion (NW Mediterranean Sea) at twelve stations characterized by different anthropogenic signatures. Sigma PAEs and Sigma OPEs concentrations ranged from 2 to 766 ng/g DW (av. 196 ng/g DW) and from 4 to 227 ng/g DW(av. 54 ng/gDW), respectively. Our analysis of the potential sources of these organic plastic additives in sediments of the Gulf of Lion suggests that the dominant factors affecting their occurrence and environmental distribution are port-based industrial activities and urban pressures. Indeed, the highest Sigma PAEs and Sigma OPEs concentrations were found close to the ports of Toulon and Marseille (Estaque) and at the sites impacted by the Marseille metropolitan area (i.e. at the outlets of the waste water treatment plant at Cortiou and at the mouth of the Huveaune River). The lowest levels were generally found in protected areas (e.g. Port-Cros) and at sites relatively far from the coast. DEHP was seen to be the most abundant PAE while TDCP, TEHP and TiBP were the most abundant OPEs in the area. Our results also expose the contribution of additives entering the Gulf of Lion via sedimentary material from the Rhone River, with positive correlations between the total organic carbon (TOC) content in the sediment and the Sigma PAEs and Sigma OPEs concentrations. However, additive concentrations decreased from shore to offshore in the Rhone River discharge area, indicating an efficient dilution of the contaminants accumulated at the river mouth area. (C) 2020 Elsevier B.V. All rights reserved.</t>
  </si>
  <si>
    <t>10.1016/j.scitotenv.2020.143412</t>
  </si>
  <si>
    <t>Alkan, N; Alkan, A; Castro-Jimenez, J; Royer, F; Papillon, L; Ourgaud, M; Sempere, R</t>
  </si>
  <si>
    <t>Alkan, Nigar; Alkan, Ali; Castro-Jimenez, Javier; Royer, Florian; Papillon, Laure; Ourgaud, Melanie; Sempere, Richard</t>
  </si>
  <si>
    <t>Plastic additives; Phthalates; Organophosphate esters; Sediment; Gulf of Lion</t>
  </si>
  <si>
    <t>PERSISTENT ORGANIC POLLUTANTS; PEARL RIVER DELTA; FLAME RETARDANTS; RHONE RIVER; SURFACE SEDIMENTS; TAIHU LAKE; TOULON BAY; PLASTICIZERS; WATER; CHINA</t>
  </si>
  <si>
    <t>[Alkan, Nigar; Alkan, Ali; Castro-Jimenez, Javier; Royer, Florian; Papillon, Laure; Ourgaud, Melanie; Sempere, Richard] Aix Marseille Univ, Univ Toulon, CNRS, IRD,MIO UM 110, Marseille, France; [Alkan, Nigar] Karadeniz Tech Univ, Fac Marine Sci, TR-61530 Trabzon, Turkey; [Alkan, Ali] Karadeniz Tech Univ, Inst Marine Sci &amp; Technol, TR-61080 Trabzon, Turkey; [Castro-Jimenez, Javier] IFREMER, Lab Brogeochem Organ Contaminants LBCO, Rue Ile dYeu,BP 21105, F-44311 Nantes 3, France</t>
  </si>
  <si>
    <t>Centre National de la Recherche Scientifique (CNRS); Institut de Recherche pour le Developpement (IRD); UDICE-French Research Universities; Aix-Marseille Universite; Karadeniz Technical University; Karadeniz Technical University; Ifremer</t>
  </si>
  <si>
    <t>Sempere, R (corresponding author), Aix Marseille Univ, Univ Toulon, CNRS, IRD,MIO UM 110, Marseille, France.;Castro-Jimenez, J (corresponding author), IFREMER, Lab Brogeochem Organ Contaminants LBCO, Rue Ile dYeu,BP 21105, F-44311 Nantes 3, France.</t>
  </si>
  <si>
    <t>Javier.Castro.Jimenez@ifremer.fr; richard.sempere@mio.osupytheas.fr</t>
  </si>
  <si>
    <t>PAPILLON, Laure Barbara, Lise/ABE-4292-2021; Alkan, Ali/AAY-2132-2021; Sempere, Richard/ABE-9977-2020; Alkan, Ali/C-6500-2014; ALKAN, NIGAR/ABA-4539-2021</t>
  </si>
  <si>
    <t>PAPILLON, Laure Barbara, Lise/0000-0003-1517-4620; Sempere, Richard/0000-0002-2956-0998; Alkan, Ali/0000-0002-3958-5208; ALKAN, NIGAR/0000-0001-9181-4285; Ourgaud, Melanie/0000-0002-7881-0527; Castro Jimenez, Javier/0000-0001-8456-3932</t>
  </si>
  <si>
    <t>Scientific and Technological Research Council of Turkey (TUBITAK) [1059B191800428]; `Agence de l'Eau Rhone Mediterranee Corse' (AERMC); European FEDER Fund [1166-39417]</t>
  </si>
  <si>
    <t>Scientific and Technological Research Council of Turkey (TUBITAK)(Turkiye Bilimsel ve Teknolojik Arastirma Kurumu (TUBITAK)); `Agence de l'Eau Rhone Mediterranee Corse' (AERMC); European FEDER Fund</t>
  </si>
  <si>
    <t>This study was conducted as part of the CAREMED project. NA acknowledges The Scientific and Technological Research Council of Turkey (TUBITAK) for Fellowship (1059B191800428). We acknowledge the financial support from `Agence de l'Eau Rhone Mediterranee Corse' (AERMC). The authors are grateful to the crews of the R/V Antedon II and SAM-M I O platform for operation at sea and sampling, as well as to Patrick Raimbault and Nicole Garcia and the PACEM-MIO technical platform for organic carbon analyses. The project leading to this publication received funding from the European FEDER Fund under project 1166-39417. The authors acknowledge the associate editor and the anonymous reviewers for improving quality of the submitted manuscript.</t>
  </si>
  <si>
    <t>PS2TD</t>
  </si>
  <si>
    <t>Green Submitted, Green Published, Bronze</t>
  </si>
  <si>
    <t>WOS:000607779400076</t>
  </si>
  <si>
    <t>Instrumented indentation and scratch testing evaluation of tribological properties of tin-based bearing materials</t>
  </si>
  <si>
    <t>This paper describes a study of some fundamental tribological behavior of two different tin-based bearing materials using scratch and Martens hardness techniques. The scratch test results obtained from the two different tin-based bearing materials were correlated with a function of scratch hardness and coefficient of friction. It is easily observed that the friction coefficients of WM5 are lower than those of WM2 under all scratch test conditions. Beside this, it is clearly distinguished that both materials give higher friction coefficients at higher normal loads and scratch velocities. Also it is found that scratch hardness values of the WM5 materials are higher than WM2 generally. Moreover, optical microscopy was used to determine the scratch hardness of two different tin-based bearing materials by examining the scratch widths. Scanning electron microscopic observations of two different tin-based bearing materials were performed in order to identify the scratch-deformation mechanisms and trace morphology. Beside scratch tests, Martens hardness tests were carried out to evaluate the indentation of materials by considering both the force and displacement during plastic and elastic deformation. By monitoring the complete cycle of increasing and removal of the test force, hardness values were determined. (C) 2010 Elsevier Ltd. All rights reserved.</t>
  </si>
  <si>
    <t>10.1016/j.matdes.2010.01.033</t>
  </si>
  <si>
    <t>Bora, MO; Coban, O; Sinmazcelik, T; Gunay, V; Zeren, M</t>
  </si>
  <si>
    <t>Bora, Mustafa Ozgur; Coban, Onur; Sinmazcelik, Tamer; Gunay, Volkan; Zeren, Muzaffer</t>
  </si>
  <si>
    <t>MATERIALS &amp; DESIGN</t>
  </si>
  <si>
    <t>Non-ferros metals and alloys; Wear; Abrasion</t>
  </si>
  <si>
    <t>NANO-INDENTATION; WC-CO; BEHAVIOR; WEAR; RESISTANCE; SURFACE; INTERPHASES; COMPOSITES; ABRASION; FAILURE</t>
  </si>
  <si>
    <t>[Bora, Mustafa Ozgur; Coban, Onur; Sinmazcelik, Tamer] Kocaeli Univ, Mech Eng Dept, TR-41040 Izmit, Turkey; [Sinmazcelik, Tamer; Gunay, Volkan] TUBITAK MRC, Mat Inst, TR-41470 Gebze, Turkey; [Zeren, Muzaffer] Kocaeli Univ, Met &amp; Mat Eng Dept, TR-41040 Izmit, Turkey</t>
  </si>
  <si>
    <t>Kocaeli University; Turkiye Bilimsel ve Teknolojik Arastirma Kurumu (TUBITAK); Kocaeli University</t>
  </si>
  <si>
    <t>Bora, MO (corresponding author), Kocaeli Univ, Mech Eng Dept, Veziroglu Campus, TR-41040 Izmit, Turkey.</t>
  </si>
  <si>
    <t>ozgur_bora@yahoo.com</t>
  </si>
  <si>
    <t>Gunay, Volkan/AAQ-7681-2021; SINMAZÇELİK, TAMER/L-5304-2019; bora, mustafa/L-6059-2017; Sınmazçelik, Tamer/A-3863-2010; çoban, onur/F-5240-2018</t>
  </si>
  <si>
    <t>Sınmazçelik, Tamer/0000-0002-3276-5820; çoban, onur/0000-0002-8965-3459</t>
  </si>
  <si>
    <t>0264-1275</t>
  </si>
  <si>
    <t>1873-4197</t>
  </si>
  <si>
    <t>MATER DESIGN</t>
  </si>
  <si>
    <t>Mater. Des.</t>
  </si>
  <si>
    <t>575SJ</t>
  </si>
  <si>
    <t>WOS:000276087800002</t>
  </si>
  <si>
    <t>Determination of Fermentation and Digestibility Characteristics of Corn, Sunflower and Combination of Corn and Sunflower Silages</t>
  </si>
  <si>
    <t>This study was conducted to determine in vivo digestibilities and fermentation property of various silages made of green herbage of Sunflower (SF), Corn (C) and corn-sunflower mixtures at different rates [75% com+25% sunflower (75C25SF), 50% corn+50% sunflower (50C50SF), 25% corn+75 sunflower (25C75SF)] ensiled in 120 1 plastic barrels for 90 days. PH values of C and mixture silages were lower than that of SF silage (p&lt;0.05). Concentrations of lactic, acetic, propionic and butyric acids were higher in SF silage than C silage (p&lt;0.05). Lactic and propionic acid concentrations increased in mixture silages as the sunflower ratio increased, whereas decreases in butyric acid concentration were observed as corn ratio incresed in the mixture (p&lt;0.05). While digestibility of DM, OM, ADF and NDF were high in C silage, digestibility of CP and EE were high in SF silage. The digestibility of DM, OM, ADF and NDF in mixture silages increased with the increases in corn ratio in mixture and digestibility of CP and EE of increased as sunflower ratio increased in mixture. It can be concluded that high quality silages could be obtained from green herbage of corn or sunflower alone, however their nutritive values could be improved if they are mixed at 50% ratio.</t>
  </si>
  <si>
    <t>Demirel, M; Bolat, D; Celik, S; Bakici, Y; Eratak, S</t>
  </si>
  <si>
    <t>Demirel, M.; Bolat, D.; Celik, S.; Bakici, Y.; Eratak, S.</t>
  </si>
  <si>
    <t>Corn; sunflower; mixture silages; silage quality; in vivo digestibility</t>
  </si>
  <si>
    <t>QUALITY; STORAGE</t>
  </si>
  <si>
    <t>[Demirel, M.; Celik, S.] Yuzuncu Yil Univ, Fac Agr, Dept Anim Sci, Van, Turkey; [Bolat, D.] Yuzuncu Yil Univ, Fac Vet Med, Dept Anim Nutr, Van, Turkey; [Eratak, S.] Celal Bayar Univ, Med Sch Akhisar, Van, Turkey</t>
  </si>
  <si>
    <t>Yuzuncu Yil University; Yuzuncu Yil University; Celal Bayar University</t>
  </si>
  <si>
    <t>Demirel, M (corresponding author), Yuzuncu Yil Univ, Fac Agr, Dept Anim Sci, Van, Turkey.</t>
  </si>
  <si>
    <t>The Scientific Research Projects Presidency of Yuzuncu Yil University [2003-ZF-028]</t>
  </si>
  <si>
    <t>The Scientific Research Projects Presidency of Yuzuncu Yil University(Yuzuncu Yil University)</t>
  </si>
  <si>
    <t>This research was financially supported by The Scientific Research Projects Presidency of Yuzuncu Yil University. Project no: 2003-ZF-028.</t>
  </si>
  <si>
    <t>395ZC</t>
  </si>
  <si>
    <t>WOS:000262561000014</t>
  </si>
  <si>
    <t>Before and After What Has Changed in the Attitude of Turkish Society Regarding Face Transplantations?</t>
  </si>
  <si>
    <t>Face transplantation is one of the most popular and controversial subjects of plastic surgery today. Although there are various surveys on the subject, there is no study comparing the past and the present social viewpoint and behavioral preferences for face transplantations across the world. In this study, we aimed to investigate the changes in the views of the Turkish society with respect to face transplantation from past to present. For this purpose, 1000 volunteer participants were questioned in terms of demographics and their perspective and preferences on organ and face transplantation. The results of the study were compared with the past data, and based on the results, the level of consciousness and awareness of the Turkish society about the subject has increased; the rate risk taking for immunosuppression has decreased, and instead, the rate of having an undecided stance has increased, and this attitude continues even if the risk is resolved. With these results, we can conclude that the greatest handicap for face transplantation in the Turkish society today is immunosuppression and the associated risks. We believe that new drug protocols and monitoring of patient outcomes for longer periods as well as more extensive clinical applications may be beneficial in addressing this issue.</t>
  </si>
  <si>
    <t>10.1097/SAP.0000000000001877</t>
  </si>
  <si>
    <t>Findikcioglu, K; Sibar, S; Otgoz, D; Ozmen, S</t>
  </si>
  <si>
    <t>Findikcioglu, Kemal; Sibar, Serhat; Otgoz, Duygu; Ozmen, Selahattin</t>
  </si>
  <si>
    <t>ANNALS OF PLASTIC SURGERY</t>
  </si>
  <si>
    <t>facial transplantation; organ transplantation; surveys and questionnaires; vascularized composite allotransplantation</t>
  </si>
  <si>
    <t>ORGAN DONATION; RECONSTRUCTION; INFORMATION; ALLOGRAFT; FLAP</t>
  </si>
  <si>
    <t>[Findikcioglu, Kemal; Otgoz, Duygu] Gazi Univ Hosp, Dept Plast Surg, Ankara, Turkey; [Sibar, Serhat] Ozel Denizli Tekden Hastanesi, Denizli, Turkey; [Ozmen, Selahattin] Koc Univ Hosp, Dept Plast Surg, Ankara, Turkey</t>
  </si>
  <si>
    <t>Gazi University; Koc University</t>
  </si>
  <si>
    <t>Sibar, S (corresponding author), Ozel Denizli Tekden Hosp, Muratdede Mahallesi,Karci Yolu,57, TR-20010 Merkezefendi Denizli, Turkey.</t>
  </si>
  <si>
    <t>serhatsibar@hotmail.com</t>
  </si>
  <si>
    <t>Fındıkçıoğlu, Kemal/AHC-3284-2022; şibar, serhat/AAH-4215-2019</t>
  </si>
  <si>
    <t>0148-7043</t>
  </si>
  <si>
    <t>1536-3708</t>
  </si>
  <si>
    <t>ANN PLAS SURG</t>
  </si>
  <si>
    <t>Ann. Plast. Surg.</t>
  </si>
  <si>
    <t>IQ4NV</t>
  </si>
  <si>
    <t>WOS:000480728400020</t>
  </si>
  <si>
    <t>Marine turtles (Chelonia mydas and Caretta caretta) nesting along the eastern Mediterranean coast of Turkey: Results from six years of surveying</t>
  </si>
  <si>
    <t>The nesting biology of green and loggerhead sea turtles (Chelonia mydas and Caretta caretta) on Akyatan, Agyatan, Tuzla and Yumurtalik Nature Reserve beaches along the eastern Mediterranean coast of Turkey was investigated during six consecutive nesting seasons (2006-2011). A total of 2198 C. mydas and 104 C. caretta nests were recorded, with an annual mean of 366 and 17 nests, respectively. Akyatan was the main breeding site for both species. We recorded a total of 5879 C. mydas emergences, with 2171 (37%) resulting in nests (mean of 362 nests per year); the mean nesting density was 16 nests km(-1). A total of 1335 (61%) C. mydas nests from Akyatan beach were excavated. We recorded 151,758 eggs, 116,309 of which (77%) hatched, producing 88,673 hatchlings which were able to reach the sea. The annual number of nests ranged from 170 (2007) to 562 (2006), with a statistically non-significant decrease throughout the study period (Spearman r=-0.20, p&gt;0.05). The main threats were predation of eggs and hatchlings by jackals, plastic pollution and vehicle ruts that hindered the hatchlings progress to the sea.</t>
  </si>
  <si>
    <t>Yilmaz, C; Oruc, A; Turkozan, O</t>
  </si>
  <si>
    <t>Yilmaz, Can; Oruc, Ayse; Turkozan, Oguz</t>
  </si>
  <si>
    <t>HERPETOLOGICAL JOURNAL</t>
  </si>
  <si>
    <t>Chelonia mydas; Caretta caretta; marine turtles; Mediterranean; Turkey</t>
  </si>
  <si>
    <t>LOGGERHEAD SEA-TURTLES; GREEN TURTLE; MITOCHONDRIAL-DNA; AKYATAN-BEACH; CONSERVATION; HATCHLINGS; MOISTURE; ROOKERY; SUCCESS; MERSIN</t>
  </si>
  <si>
    <t>[Yilmaz, Can; Oruc, Ayse; Turkozan, Oguz] WWF Turkey, TR-34420 Istanbul, Turkey; [Yilmaz, Can; Turkozan, Oguz] Adnan Menderes Univ, Fen Edebiyat Fak, Biyol Bolumu, TR-09010 Aydin, Turkey</t>
  </si>
  <si>
    <t>Turkozan, O (corresponding author), WWF Turkey, Buyuk Postane Caddesi 19,Kat 5, TR-34420 Istanbul, Turkey.</t>
  </si>
  <si>
    <t>oguz.turkozan@gmail.com</t>
  </si>
  <si>
    <t>Turkozan, Oguz/V-8509-2019</t>
  </si>
  <si>
    <t>Turkozan, Oguz/0000-0001-6889-7908</t>
  </si>
  <si>
    <t>MAVA Foundation; Garanti Bank; UNDP-GEF Small Grant Programme (SGP); Dutch Embassy in Turkey</t>
  </si>
  <si>
    <t>MAVA Foundation; Garanti Bank; UNDP-GEF Small Grant Programme (SGP); Dutch Embassy in Turkey(Ministry of Foreign Affairs - Turkey)</t>
  </si>
  <si>
    <t>We would like to thank the following individuals who provided advice, input and ideas during the study: Etem Boz, Yuksel Abidinoglu, Sadik Dogan, Nagehan Balpinar, Ozay Karabacak, Mehmet Y. Cevirgen, Bunyamin Nur, Tulay Bacik, Nebi Erol Metin, Adil Salkim, Ibrahim Kesler, Bilal Aydin (7th Regional Directorate of Turkish Ministry of Forest and Water Affairs in Adana), Zeynep Un, Ergun Karaarslan, Okan Karaarslan, Semih Barbaros, Sule Karakaya and Filiz Demirayak. We would also like to thank volunteers of the project. This project is supported by; MAVA Foundation, Garanti Bank, UNDP-GEF Small Grant Programme (SGP), Dutch Embassy in Turkey and individual supporters of Adopt a Marine Turtle Programme of WWF-Turkey. The authors wish to acknowledge use of the Maptool program for analysis and graphics in this paper. Maptool is a product of SEATURTLE.ORG. (Information is available at &lt; http://www.seaturtle.org &gt;). The authors would like to thank 3 anonymous reviewers and editor for their constructive comments. The English was greatly improved by Drs. Wayne Fuller and Paul Doughty.</t>
  </si>
  <si>
    <t>BRITISH HERPETOL SOC</t>
  </si>
  <si>
    <t>C/O ZOOL SOC LONDON REGENTS PARK, LONDON NW1 4RY, ENGLAND</t>
  </si>
  <si>
    <t>0268-0130</t>
  </si>
  <si>
    <t>HERPETOL J</t>
  </si>
  <si>
    <t>Herpetolog. J.</t>
  </si>
  <si>
    <t>CX5LB</t>
  </si>
  <si>
    <t>WOS:000365742000001</t>
  </si>
  <si>
    <t>Dewatering of Golden Horn sludge with geotextile tube and determination of optimum operating conditions: A novel approach</t>
  </si>
  <si>
    <t>Environmental concerns about Golden Horn's polluted sediments have led to 320,000 m(3) of sea dredging, generated annually by bucket dredgers to be stored in landfills without dewatering. This study presents an efficient dewatering methodology and a beneficial alternative to store the sludge. In this scenario, the sludge of a suction-cutter dredger is transported to a pond. The beneficial use of geotextile tubes filled with the sludge at circumferential embankments of pond is evaluated. An anionic polyacrylamide (APAM) is used for conditioning the high plastic silt sludge with 10% solid content. APAM dosage is optimized by Rapid Dewatering Test (RDT) for geotextile material. Microscale SEM-EDS analyzes depicted the flocculated form of the sludge. Laboratory-scale Geotextile Dewatering Test (GDT) shows improvements in the turbidity of filtrate, the quantity of solid particles retained in the tube, and the filtration efficiency, determined to be 92 NTU, 18.5% and 90.5% respectively. In accordance with the ICP-OES analysis, the discharge of the filtrate to the aquatic media is admissible. Undrained shear strength of the dewatered sludge is assessed as low, by Vane and undrained unconsolidated triaxial compression tests. Further improvements of the dewatered sludge with vacuum preloading method were projected by completion of the consolidation tests.</t>
  </si>
  <si>
    <t>10.1080/1064119X.2021.1938303</t>
  </si>
  <si>
    <t>Karadogan, U; Cevikbilen, G; Korkut, S; Pasaoglu, ME; Teymur, B</t>
  </si>
  <si>
    <t>Karadogan, Umit; Cevikbilen, Gokhan; Korkut, Sevde; Pasaoglu, Mehmet Emin; Teymur, Berrak</t>
  </si>
  <si>
    <t>MARINE GEORESOURCES &amp; GEOTECHNOLOGY</t>
  </si>
  <si>
    <t>Dredged sludge; dewatering; geotextile tube; polyacrylamide</t>
  </si>
  <si>
    <t>SOIL; BEHAVIOR; POLYMER; TESTS</t>
  </si>
  <si>
    <t>[Karadogan, Umit; Cevikbilen, Gokhan; Teymur, Berrak] Istanbul Tech Univ, Civil Engn Dept, TR-34469 Istanbul, Turkey; [Karadogan, Umit; Korkut, Sevde; Pasaoglu, Mehmet Emin] Istanbul Tech Univ, Natl Res Ctr Membrane Technol, Istanbul, Turkey; [Korkut, Sevde; Pasaoglu, Mehmet Emin] Istanbul Tech Univ, Environm Engn Dept, Istanbul, Turkey</t>
  </si>
  <si>
    <t>Karadogan, U (corresponding author), Istanbul Tech Univ, Civil Engn Dept, TR-34469 Istanbul, Turkey.</t>
  </si>
  <si>
    <t>karadoganum@itu.edu.tr</t>
  </si>
  <si>
    <t>PASAOGLU, Mehmet Emin/AAL-9419-2021; Teymur, Berrak/ABB-3386-2020; Korkut, Sevde/ABB-1474-2020</t>
  </si>
  <si>
    <t>PASAOGLU, Mehmet Emin/0000-0003-1152-8823; Teymur, Berrak/0000-0001-8290-5337; Karadogan, Umit/0000-0001-6584-2389; Korkut, Sevde/0000-0002-1230-1404</t>
  </si>
  <si>
    <t>1064-119X</t>
  </si>
  <si>
    <t>1521-0618</t>
  </si>
  <si>
    <t>MAR GEORESOUR GEOTEC</t>
  </si>
  <si>
    <t>Mar. Geores. Geotechnol.</t>
  </si>
  <si>
    <t>JUL 3</t>
  </si>
  <si>
    <t>Engineering, Ocean; Engineering, Geological; Oceanography; Mining &amp; Mineral Processing</t>
  </si>
  <si>
    <t>Engineering; Oceanography; Mining &amp; Mineral Processing</t>
  </si>
  <si>
    <t>2O9FX</t>
  </si>
  <si>
    <t>WOS:000661312000001</t>
  </si>
  <si>
    <t>Methyl bromide alternatives for controlling Meloidogyne incognita in pepper cultivars in the eastern mediterranean region of Turkey</t>
  </si>
  <si>
    <t>The efficacy of soil solarization in combination with Trichoderma spp. (S+Tr), dazomet (S+D 300, 400 and 500 kg ha(-1) of dosages) and fresh chicken manure (S+CM 12.5 t ha(-1)) as methyl bromide (MB) alternatives against root-knot nematodes on pepper cultivars was investigated in plastic greenhouses in the eastern Mediterranean Region of Turkey. Soil solarization for 6 weeks increased soil temperature by 8.4 and 7.8 degrees C at 10 cm soil depth in 2000 and 2001, respectively. Second stage juvenile (J2) populations of M. incognita were efficiently reduced by S + Tr, S + D300, S + D400, S + D500, S + CM, and MB treatments until May 16 in both the first and second years. However, JZ population began to increase after February in untreated control plots. Root gall indices were low (0.7 to 1.9) in all treatments except untreated control where gall index was approximately 6 (0 to 10 galling index scale). All the alternative treatments to MB effectively suppressed the damage of root-knot nematodes during the entire vegetation period. Yield values were not significantly different between alternative treatments and MB in the experiments.</t>
  </si>
  <si>
    <t>Sogut, MA; Elekcioglu, IH</t>
  </si>
  <si>
    <t>Sogut, Mehmet Ali; Elekcioglu, Ibrahim Halil</t>
  </si>
  <si>
    <t>chicken manure; dazomet; methyl bromide; pepper; root-knot nematode; soil solarization</t>
  </si>
  <si>
    <t>SOIL SOLARIZATION; SOILBORNE PATHOGENS; CHICKEN LITTER; TOMATO; AMENDMENT; NEMATODES; MICROBES; ARENARIA; FLORIDA</t>
  </si>
  <si>
    <t>Suleyman Demirel Univ, Dept Plant Protect, Fac Agr, TR-32260 Isparta, Turkey; Cukurova Univ, Fac Agr, Dept Plant Protect, TR-01330 Adana, Turkey</t>
  </si>
  <si>
    <t>Suleyman Demirel University; Cukurova University</t>
  </si>
  <si>
    <t>Sogut, MA (corresponding author), Suleyman Demirel Univ, Dept Plant Protect, Fac Agr, TR-32260 Isparta, Turkey.</t>
  </si>
  <si>
    <t>masogut@ziraat.sdu.edu.tr</t>
  </si>
  <si>
    <t>Elekcioglu, Ibrahim Halil/G-3694-2018</t>
  </si>
  <si>
    <t>WOS:000247070200004</t>
  </si>
  <si>
    <t>The Effects of Certain Additives on the Grass Silage Quality, Digestibility and Rumen Parameters in Rams</t>
  </si>
  <si>
    <t>In this study, the effects of certain additives put into grass silage on the both nutrient contents and pH value of silage and digestibility and rumen parameters on rams were examined. Grass silage and grass silage mixed with silage additives of 4% crushed barley, 2% molasses and 1% salt were placed into plastic barrels and their Dry Matter (DM), Organic Matter (OM), ash, Crude Protein (CP), Crude Fiber (CF) and Ether Extract (EE) contents were examined. In addition, silage digestibilities of DM, OM and CP and the effects of silages on ruminal pH, ammonia N and volatile fatty acid contents were also determined. While, DM and ash contents of silage were increased, CP content and ruminal pH were decreased in the silage prepared with silage additives. DM and OM digestibilities have been determined to be significantly higher (p&lt;0.05) in additive silage, as compared to that of the grass silage. CP digestibility has not been changed in both experimental groups. Ruminal pH and isovaleric acid value of the silage prepared with additives were decreased, but propionic acid value was increased (p&lt;0.05). There were no differences on the values of rumen ammonia N, acetic acid, butiric acid and valeric acid. In conclusion, silage additives positively affected the digestibility and rumen fermentation products.</t>
  </si>
  <si>
    <t>Kaya, I; Unal, Y; Sahin, T</t>
  </si>
  <si>
    <t>Kaya, Ismail; Unal, Yucel; Sahin, Tarkan</t>
  </si>
  <si>
    <t>Grass silage; nutrient contents; digestibility; rumen parameters; fatty acid; dry matter</t>
  </si>
  <si>
    <t>FORMIC-ACID; FERMENTATION; CATTLE; MATURITY</t>
  </si>
  <si>
    <t>[Kaya, Ismail; Unal, Yucel; Sahin, Tarkan] Kafkas Univ, Fac Vet Med, Dept Anim Nutr &amp; Nutr Dis, TR-36300 Kars, Turkey</t>
  </si>
  <si>
    <t>Kafkas University</t>
  </si>
  <si>
    <t>Kaya, I (corresponding author), Kafkas Univ, Fac Vet Med, Dept Anim Nutr &amp; Nutr Dis, TR-36300 Kars, Turkey.</t>
  </si>
  <si>
    <t>ŞAHİN, Tarkan/AFL-6629-2022; ŞAHİN, Tarkan/AAG-6758-2022</t>
  </si>
  <si>
    <t>KAYA, ISMAIL/0000-0002-2570-0877</t>
  </si>
  <si>
    <t>472VI</t>
  </si>
  <si>
    <t>WOS:000268160300019</t>
  </si>
  <si>
    <t>Effectiveness of seismic repairing stages with CFRPs on the seismic performance of damaged RC frames</t>
  </si>
  <si>
    <t>This study aims at evaluating the performance of repairing technique with CFRPs in recovering cyclic performance of damaged columns in flexure in terms of structural response parameters such as strength, dissipated energy, stiffness degradation. A 2/3 scaled substandard reinforced concrete frame was constructed to represent the substandard RC buildings especially in developing countries. These substandard buildings have several structural deficiencies such as strong beam-weak column phenomenon, improper reinforcement detailing and poor material properties. Flexural plastic hinges occurred at the columns ends after testing the substandard specimen under both constant axial load and reversed cyclic lateral loading. Afterwards, the damaged columns were externally wrapped with CFRP sheets both in transverse and longitudinal directions and then retested under the same loading protocol. In addition, ambient vibration measurements were taken from the undamaged, damaged and the repaired specimens at each structural repair steps to identify the effectiveness of each repairing step by monitoring the change in the natural frequencies of the tested specimen. The ambient vibration test results showed that the applied repairing technique with external CFRP wrapping was proved to recover stiffness of the pre-damaged specimen. Moreover, the lateral load capacity of the pre-damaged substandard RC frame was restored with externally bonded CFRP sheets.</t>
  </si>
  <si>
    <t>10.12989/sem.2018.67.3.233</t>
  </si>
  <si>
    <t>Duran, B; Tunaboyu, O; Kaplan, O; Avsar, O</t>
  </si>
  <si>
    <t>Duran, Burak; Tunaboyu, Onur; Kaplan, Onur; Avsar, Ozgur</t>
  </si>
  <si>
    <t>STRUCTURAL ENGINEERING AND MECHANICS</t>
  </si>
  <si>
    <t>reinforced concrete; CFRP; seismic repairing; ambient vibration; stiffness; flexural damage</t>
  </si>
  <si>
    <t>RAPID REPAIR; CONCRETE; IDENTIFICATION; EARTHQUAKE; VIBRATION; COLUMN</t>
  </si>
  <si>
    <t>[Duran, Burak] Dokuz Eylul Univ, Dept Civil Engn, Tinaztepe Campus, Izmir, Turkey; [Tunaboyu, Onur; Avsar, Ozgur] Anadolu Univ, Dept Civil Engn, 2 Eylul Campus, Eskisehir, Turkey; [Kaplan, Onur] Anadolu Univ, Earth &amp; Space Sci Inst, 2 Eylul Campus, Eskisehir, Turkey</t>
  </si>
  <si>
    <t>Dokuz Eylul University; Anadolu University; Anadolu University</t>
  </si>
  <si>
    <t>Duran, B (corresponding author), Dokuz Eylul Univ, Dept Civil Engn, Tinaztepe Campus, Izmir, Turkey.</t>
  </si>
  <si>
    <t>burak.duran@deu.edu.tr; onurtunaboyu@anadolu.edu.tr; onur_kaplan@anadolu.edu.tr; ozguravsar@anadolu.edu.tr</t>
  </si>
  <si>
    <t>Kaplan, Onur/AAB-5747-2022; Kaplan, Onur/HKO-8722-2023; DURAN, BURAK/T-2017-2019; Avşar, Özgür/X-7599-2019</t>
  </si>
  <si>
    <t>Kaplan, Onur/0000-0002-0759-621X; Kaplan, Onur/0000-0002-0759-621X; DURAN, BURAK/0000-0003-0352-2456; Avşar, Özgür/0000-0001-7246-9631; TUNABOYU, Onur/0000-0001-6858-4290</t>
  </si>
  <si>
    <t>Scientific Research Commission of Anadolu University [1606F552]</t>
  </si>
  <si>
    <t>Scientific Research Commission of Anadolu University(Anadolu University)</t>
  </si>
  <si>
    <t>The research described in this paper was financially supported by the Scientific Research Commission of Anadolu University with the grant number 1606F552.</t>
  </si>
  <si>
    <t>1225-4568</t>
  </si>
  <si>
    <t>1598-6217</t>
  </si>
  <si>
    <t>STRUCT ENG MECH</t>
  </si>
  <si>
    <t>Struct. Eng. Mech.</t>
  </si>
  <si>
    <t>AUG 10</t>
  </si>
  <si>
    <t>Engineering, Civil; Engineering, Mechanical</t>
  </si>
  <si>
    <t>GP1IY</t>
  </si>
  <si>
    <t>WOS:000440570200002</t>
  </si>
  <si>
    <t>The texture, sensory properties and stability of cookies prepared with wax oleogels</t>
  </si>
  <si>
    <t>Shortening is the essential component of high quality baked foods. Its effects on dough structure formation and the desired final product attributes depend mostly on its solid fat content and beta' crystalline polymorphs. Saturated and trans fatty acids present in shortening pose some important negative health considerations. Hence, alternative plastic fats with lower or zero quantity of saturated and trans fatty acids are in high demand. Oleogels are gel networks of liquid edible oils with no trans and very low saturated fatty acids. In this study, sunflower wax (SW) and beeswax (BW) oleogels of hazelnut oil were used in cookie preparation against commercial bakery shortening (CBS) as the control, to compare the textural, sensory and stability properties of the cookies. The basic chemical composition, textural properties, and some physical attributes of the cookies were compared. Sensory texture/flavor profile analysis (T/FPA) and consumer hedonic tests were also accomplished. Furthermore, the changes in cookie texture and stability were monitored during 30 day storage at room temperature. It was found out that in almost all properties, the oleogel cookies resembled CBS cookies. T/FPA results present detailed data for literature. Consumer hedonic scores indicated that oleogel cookies were better than CBS cookies and were also well accepted by consumers. Wax oleogels can be used as cookie shortening successfully.</t>
  </si>
  <si>
    <t>10.1039/c5fo00019j</t>
  </si>
  <si>
    <t>Yilmaz, E; Ogutcu, M</t>
  </si>
  <si>
    <t>Yilmaz, Emin; Ogutcu, Mustafa</t>
  </si>
  <si>
    <t>FOOD &amp; FUNCTION</t>
  </si>
  <si>
    <t>OIL ORGANOGELS; OLIVE OIL; BISCUITS; FAT; BEESWAX</t>
  </si>
  <si>
    <t>[Yilmaz, Emin; Ogutcu, Mustafa] Canakkale Onsekiz Mart Univ, Fac Engn, Dept Food Engn, TR-17020 Canakkale, Turkey</t>
  </si>
  <si>
    <t>Yilmaz, E (corresponding author), Canakkale Onsekiz Mart Univ, Fac Engn, Dept Food Engn, TR-17020 Canakkale, Turkey.</t>
  </si>
  <si>
    <t>eyilmaz@comu.edu.tr</t>
  </si>
  <si>
    <t>YILMAZ, Emin/0000-0003-1527-5042</t>
  </si>
  <si>
    <t>Scientific and Technical Council (TUBITAK) of Turkey within COST Action [COST 112O038, FA 1001]</t>
  </si>
  <si>
    <t>Scientific and Technical Council (TUBITAK) of Turkey within COST Action(Turkiye Bilimsel ve Teknolojik Arastirma Kurumu (TUBITAK))</t>
  </si>
  <si>
    <t>This study was funded by the Scientific and Technical Council (TUBITAK) of Turkey as the COST 112O038 project within COST FA 1001 Action. The authors gratefully thank for the support.</t>
  </si>
  <si>
    <t>2042-6496</t>
  </si>
  <si>
    <t>2042-650X</t>
  </si>
  <si>
    <t>FOOD FUNCT</t>
  </si>
  <si>
    <t>Food Funct.</t>
  </si>
  <si>
    <t>Biochemistry &amp; Molecular Biology; Food Science &amp; Technology</t>
  </si>
  <si>
    <t>CI1RW</t>
  </si>
  <si>
    <t>WOS:000354522900015</t>
  </si>
  <si>
    <t>Investigation into the protective effects of Naringenin in phthalates-induced reproductive damage</t>
  </si>
  <si>
    <t>OBJECTIVE: Di-n-butyl phthalate (DBP) is a ubiquitous environmental pollutant, extensively used as a plasticizer in many products, including plastics. cosmetics. and medical devices. Naringenin (NAR) is a flavonoid belonging to the flavanones subclass. It is widely distributed in several citrus fruits, bergamot, tomatoes, and other fruits. It is also found in its glycoside form (mainly naringin). Several biological activities have been ascribed to this phytochemical: antioxidant, antitumor, antiviral, antibacterial, anti-inflammatory, antiadipogenic, and ca rdioprotective effects. This study hypothesized that phthalates' possible reproductive damage mechanism is oxidative attack, and naringenin could have a protective effect against radical forms in the body through its antioxidant properties. MATERIALS AND METHODS: Thirty-two male rats were used in our study (n=8 each). Rats were randomly divided into four groups: Control, DBP, DBP +NAR and NAR. Phthalate (DBP) and NAR were administered through gastric oral gavage (phthalate group 500 mg/kg/day DBP: NAR group 50 mg/kg/day NAR). At the end of four weeks. testis tissue samples were taken under anesthesia. Testis tissue and blood samples were collected from the four groups in this study. Histological, biochemical and spermatological analyses were conducted. RESULTS: Tissue samples from the control and NAR groups showed normal histological appearance on light microscopy. The DBP group exhibited deterioration in seminiferous tubules, vascular congestion in capsule, vascular congestion between the seminiferous tubules, edema in the intestinal area and vacuolization. arrested spermatocytes in different stages of division; sloughing of cells into the seminiferous tubular lumen was observed. it was also observed that NAR treatment significantly inhibited and prevented the histopathological damage caused by DBP. Tissue TBARS, antioxidant parameters, sperm motility, sperm density and abnormal spermatozoon ratios were determined. As a result, it was shown that DBP caused oxidative damage by increas- ing TBARS levels and decreasing antioxidant parameters. increased abnormal sperm rate and decreased sperm motility. and concentration and histopathological damage, so the antioxidant activity of naringenin inhibited this damage. CONCLUSIONS: DBP had toxic effects in rat testis tissue: NAR treatment ameliorated these effects. Further studies are warranted to confirm our findings.</t>
  </si>
  <si>
    <t>Taslidere, A; Turkmen, NB; Ciftci, O; Aydin, M</t>
  </si>
  <si>
    <t>Taslidere, A.; Turkmen, N. B.; Ciftci, O.; Aydin, M.</t>
  </si>
  <si>
    <t>EUROPEAN REVIEW FOR MEDICAL AND PHARMACOLOGICAL SCIENCES</t>
  </si>
  <si>
    <t>Di-n-butyl phthalate; Naringenin; Oxidative stress; Spermiotoxicity; Testicular damage</t>
  </si>
  <si>
    <t>N-BUTYL PHTHALATE; IN-UTERO EXPOSURE; DIBUTYL PHTHALATE; DI(N-BUTYL) PHTHALATE; LIPID PEROXIDES; TOXICITY; RATS; METABOLITES; CISPLATIN; ASSAY</t>
  </si>
  <si>
    <t>[Taslidere, A.; Aydin, M.] Fac Med, Dept Histol &amp; Embryol, Malatya, Turkey; [Turkmen, N. B.] Univ Inonu, Dept Pharmaceut Toxicol, Fac Pharm, Malatya, Turkey; [Ciftci, O.] Univ Pamukkale, Dept Pharmacol, Fac Med, Denizli, Turkey; Firat Univ, Dept Obstet &amp; Gynecol, Fac Vet Med, Elazig, Turkey</t>
  </si>
  <si>
    <t>Inonu University; Inonu University; Pamukkale University; Firat University</t>
  </si>
  <si>
    <t>Taslidere, A (corresponding author), Fac Med, Dept Histol &amp; Embryol, Malatya, Turkey.</t>
  </si>
  <si>
    <t>aslicetin1@yahoo.com</t>
  </si>
  <si>
    <t>basak, nese/ABH-5495-2020; Taşlidere, Aslı Cetin/AAB-3979-2021</t>
  </si>
  <si>
    <t>basak, nese/0000-0001-5566-8321; Taşlidere, Aslı Cetin/0000-0003-3902-3210</t>
  </si>
  <si>
    <t>Scientific Research Projects Unit of Inonu University</t>
  </si>
  <si>
    <t>Scientific Research Projects Unit of Inonu University(Inonu University)</t>
  </si>
  <si>
    <t>We would like to thank the Scientific Research Projects Unit of Inonu University for their support.</t>
  </si>
  <si>
    <t>VERDUCI PUBLISHER</t>
  </si>
  <si>
    <t>ROME</t>
  </si>
  <si>
    <t>VIA GREGORIO VII, ROME, 186-00165, ITALY</t>
  </si>
  <si>
    <t>1128-3602</t>
  </si>
  <si>
    <t>EUR REV MED PHARMACO</t>
  </si>
  <si>
    <t>Eur. Rev. Med. Pharmacol. Sci.</t>
  </si>
  <si>
    <t>Pharmacology &amp; Pharmacy</t>
  </si>
  <si>
    <t>2A0ZC</t>
  </si>
  <si>
    <t>WOS:000809239500004</t>
  </si>
  <si>
    <t>Effects of Low Doses of Bisphenol A on Primordial Germ Cells in Zebrafish (Danio rerio) Embryos and Larvae</t>
  </si>
  <si>
    <t>Primordial germ cells are the precursors of gametes in sexually reproducing organisms. The migration and homing process of primordial germ cells are prone to environmental effects and the endocrine system hormones. One of the environmental pollutants which humans are exposed to is bisfenol A (BPA). BPA which is an endocrine disrupter generally used for making plastics harder. In this study we investigated the effects of low doses of BPA (4 mg/L and 8 mg/L) on primordial germ cells at the zebrafish embryos and larvae. Whole mount in situ hybridization for germ cell marker gene vasa showed that upon exposure to BPA, the primordial germ cell number increased and these cells ectopically localized outside the normal germ cell niche in zebrafish. Migration of primordial germ cells into ectopic locations and morphological changes in these cells were also proved by histological studies. Additionally, results of acridine orange staining to detect apoptotic cells showed that low doses of BPA did not increase apoptosis. Results of the present study showed that low doses of BPA exposure increased the number of primordial germ cells and induced ectopic primordial germ cell localization in the zebrafish embryos.</t>
  </si>
  <si>
    <t>10.9775/kvfd.2013.8600</t>
  </si>
  <si>
    <t>Akbulut, C; Kizil, C; Yon, ND</t>
  </si>
  <si>
    <t>Akbulut, Cansu; Kizil, Caghan; Yon, Nazan Deniz</t>
  </si>
  <si>
    <t>Zebrafish; Primordial germ cell; Bisphenol A</t>
  </si>
  <si>
    <t>GENE-EXPRESSION; MIGRATION; APOPTOSIS; RNA; DIFFERENTIATION; NONYLPHENOL; ELEGANS; PROTEIN; GROWTH; PLASM</t>
  </si>
  <si>
    <t>[Akbulut, Cansu; Yon, Nazan Deniz] Sakarya Univ, Dept Biol, TR-54187 Serdivan, Sakarya, Turkey; [Kizil, Caghan] Tech Univ Dresden, DFG Ctr Regenerat Therapies Dresden, Cluster Excellence CRTD &amp; Biotechnol Ctr, DE-01307 Dresden, Germany</t>
  </si>
  <si>
    <t>Sakarya University; German Research Foundation (DFG); Technische Universitat Dresden</t>
  </si>
  <si>
    <t>Akbulut, C (corresponding author), Sakarya Univ, Dept Biol, TR-54187 Serdivan, Sakarya, Turkey.</t>
  </si>
  <si>
    <t>cansua@sakarya.edu.tr</t>
  </si>
  <si>
    <t>Kizil, Caghan/AFG-2073-2022; Kizil, Caghan/J-6923-2015; akbulut, cansu/K-2268-2018; YÖN ERTUĞ, NAZAN DENİZ/V-4040-2017</t>
  </si>
  <si>
    <t>Kizil, Caghan/0000-0002-8164-9762; Kizil, Caghan/0000-0002-8164-9762; akbulut, cansu/0000-0003-4333-7669; YÖN ERTUĞ, NAZAN DENİZ/0000-0002-6830-8971</t>
  </si>
  <si>
    <t>Research Foundation of the Sakarya University [2012-02-20-014]</t>
  </si>
  <si>
    <t>Research Foundation of the Sakarya University(Sakarya University)</t>
  </si>
  <si>
    <t>This study was supported by Research Foundation of the Sakarya University, Project Number: 2012-02-20-014</t>
  </si>
  <si>
    <t>JUL-AUG</t>
  </si>
  <si>
    <t>182OA</t>
  </si>
  <si>
    <t>WOS:000321751900015</t>
  </si>
  <si>
    <t>Phthalate and Polycyclic Aromatic Hydrocarbon Levels in Liquid Ingredients of Packaged Fish Sold in Turkish Markets</t>
  </si>
  <si>
    <t>Phthalates (PAEs) and polycyclic aromatic hydrocarbons (PAHs) are ubiquitous contaminants in environment and foodstuffs. The objective of this study was to investigate the contamination possibility of phthalates and PAHs in packaged and canned fishes. For this purpose, tuna, salmon, sardine and mackerel canned and packaged with different liquid ingredients (water, olive oil, sunflower oil, mixture of sunflower and canola oil) attained from local markets in Turkey in 2019, were analyzed for presence of diethylhexyl phthalate (DEHP), dibutyl phthalate (DBP), butyl benzyl phthalate (BBP), diisononyl phthalate (DINP), diisodecyl phthalate (DIDP) and benzo(a)anthracene (BaA), benzotalpyrene (BaP), benzo(b)fluoranthene (BbF), chrysene (Chr). The instrumental analyses were performed by gas chromatography-mass spectrometry (GC-MS) and high-performance liquid chromatography fluorescence detection (HPLC-FLD). In all analyzed samples, the levels of DBP, BBP, DINP and DIDP were less than their LOQ, so these phthalates were not quantified. The highest DEPH content was found 650 mu g/kg in sample 2 (tuna in olive oil, packaged in plastic package). The highest sum of PAH 4 concentration was 9.97 mu g/kg in sample 4 (salmon canned in sunflower oil). Some samples (19 samples) were free for all analyzed PAEs and PAHs. All levels of these persistent organic pollutants were lower than regulation limits of Turkey and EU.</t>
  </si>
  <si>
    <t>10.5650/jos.ess20054</t>
  </si>
  <si>
    <t>Kiralan, S</t>
  </si>
  <si>
    <t>Kiralan, Sezer</t>
  </si>
  <si>
    <t>JOURNAL OF OLEO SCIENCE</t>
  </si>
  <si>
    <t>phthalates; polycyclic aromatic hydrocarbons; fish</t>
  </si>
  <si>
    <t>VEGETABLE-OILS; HUMAN EXPOSURE; CANNED FISH; TUNA FISH; FOOD; CHROMATOGRAPHY; CONTAMINATION; CONSUMPTION; MACKEREL; CADMIUM</t>
  </si>
  <si>
    <t>[Kiralan, Sezer] Balikesir Univ, Dept Food Engn, TR-10145 Balikesir, Turkey</t>
  </si>
  <si>
    <t>Balikesir University</t>
  </si>
  <si>
    <t>Kiralan, S (corresponding author), Balikesir Univ, Dept Food Engn, TR-10145 Balikesir, Turkey.</t>
  </si>
  <si>
    <t>sezertrhn@gmail.com</t>
  </si>
  <si>
    <t>JAPAN OIL CHEMISTS SOC</t>
  </si>
  <si>
    <t>TOKYO</t>
  </si>
  <si>
    <t>YUSHI KOGYO KAIKAN BLDG, 13-11, NIHONBASHI 3-CHOME, CHUO-KU, TOKYO, 103-0027, JAPAN</t>
  </si>
  <si>
    <t>1345-8957</t>
  </si>
  <si>
    <t>1347-3352</t>
  </si>
  <si>
    <t>J OLEO SCI</t>
  </si>
  <si>
    <t>J. Oleo Sci.</t>
  </si>
  <si>
    <t>Chemistry, Applied; Food Science &amp; Technology</t>
  </si>
  <si>
    <t>Chemistry; Food Science &amp; Technology</t>
  </si>
  <si>
    <t>NY8RX</t>
  </si>
  <si>
    <t>WOS:000576651900007</t>
  </si>
  <si>
    <t>High temperature pyrolysis of sewage sludge as a sustainable process for energy recovery</t>
  </si>
  <si>
    <t>This study explored the potential of high temperature pyrolysis for energy recovery from domestic sewage. It mainly defines optimum operating conditions to maximize syngas generation. A pyrolysis unit was operated in batch mode, at temperatures of 450, 600 and 850 degrees C, rotation speeds of 10, 40 and 60 Hz. The sludge had 6% moisture content; it contained 65% organic matter and involved a low calorific value of 13.535 kJ/kg dry matter. Pyrolysis at 850 degrees C and high rotation speed of 60 Hz yielded the highest conversion of sludge to syngas, with an average of 59% of the organic matter as syngas, 29% as tar and 12% as biochar. Pyrolysis enabled 74% of the energy recovery as syngas and tar. Continuous full-scale pyrolysis systems would further increase the syngas by recovering condensable gaseous products and/or recycling tar back into the pyrolysis unit. A unified approach for energy recovery management should equally consider what fraction of the energy contained in the wastewater was consumed and wasted before generating the sludge. Therefore, the adopted management scheme should also cover all design and operation parameters of the treatment plant, because this is how the energy is best conserved even before the sludge is generated. (C) 2018 Elsevier Ltd. All rights reserved.</t>
  </si>
  <si>
    <t>10.1016/j.wasman.2018.05.034</t>
  </si>
  <si>
    <t>Karaca, C; Sozen, S; Orhon, D; Okutan, H</t>
  </si>
  <si>
    <t>Karaca, C.; Sozen, S.; Orhon, D.; Okutan, H.</t>
  </si>
  <si>
    <t>Sewage sludge; High rate pyrolysis; Syngas; Thermal conversion; Energy recovery</t>
  </si>
  <si>
    <t>WASTE ACTIVATED-SLUDGE; ANAEROBIC-DIGESTION; PLASTIC WASTE; BIODEGRADABLE SUBSTRATE; CATALYTIC PYROLYSIS; FLASH PYROLYSIS; WATER TREATMENT; LIQUID; PRODUCTS; REMOVAL</t>
  </si>
  <si>
    <t>[Karaca, C.; Sozen, S.; Orhon, D.] ENVIS Energy &amp; Environm Syst R&amp;D Ltd, ITU Ari Teknokent, Ari 1 Bldg 16, TR-34469 Istanbul, Turkey; [Sozen, S.] Istanbul Tech Univ, Fac Civil Engn, Environm Engn Dept, TR-34469 Istanbul, Turkey; [Orhon, D.] Near East Univ, Civil Engn Dept, Nicosia, North Cyprus, Turkey; [Okutan, H.] Istanbul Tech Univ, Fac Chem &amp; Met Engn, Chem Engn Proc Dept, TR-34469 Istanbul, Turkey</t>
  </si>
  <si>
    <t>ENVIS Environment &amp; Energy Systems Research &amp; Development; Istanbul Technical University; Near East University; Istanbul Technical University</t>
  </si>
  <si>
    <t>Sozen, S (corresponding author), Istanbul Tech Univ, Fac Civil Engn, Environm Engn Dept, TR-34469 Istanbul, Turkey.</t>
  </si>
  <si>
    <t>sozens@itu.edu.tr</t>
  </si>
  <si>
    <t>Okutan, Hasancan/ABF-1040-2020; Sözen, Seval/L-8537-2015</t>
  </si>
  <si>
    <t>Okutan, Hasancan/0000-0002-9269-8586; Sözen, Seval/0000-0003-2027-604X</t>
  </si>
  <si>
    <t>GT6WC</t>
  </si>
  <si>
    <t>WOS:000444660600024</t>
  </si>
  <si>
    <t>Histopathological and apoptotic examination of zebrafish (Danio rerio) gonads exposed to triclosan</t>
  </si>
  <si>
    <t>Triclosan, produced as a broad-spectrum antibiotic in the early 1960s, is generally used as a preservative in personal care products, fabrics, plastic products such as kitchenware and toys. As a result of the high demand for triclosan, this chemical threatens the aquatic ecosystem by contaminating wastewater sources. Environmental pollutants affect the reproductive potential of fish, one of the most critical aquatic organisms. This study aimed to investigate the histopathological and apoptotic effects of triclosan in zebrafish gonads. Fish were exposed to sublethal concentrations of triclosan for 5 days, and general histological methods were applied. Histological sections were examined under a light microscope after staining with hematoxylin and eosin and toluidine blue. Triclosan exposure caused deterioration in ovarian tissue, such as shrinkage in the ooplasm, accumulation of proteinaceous fluid in the interstitial tissue, morphological changes of oocyte and the zona radiata. In testicular tissue, triclosan exposure caused fusion in seminiferous tubules, hypertrophy in spermatogenic and Leydig cells, edema in seminiferous tubules, and karyorrhexis in spermatogenic cells. The TUNEL assay was used for the determination of apoptotic cells. Brown-colored apoptotic cells were visualized under the light microscope. TUNEL positive cells were observed in all exposure groups. Triclosan administration was found to cause apoptosis in zebrafish gonads. These findings indicate that triclosan potentially affects fish reproduction, and that its judicious disposal is essential for protecting the environment and maintaining the reproductive potential of fish.</t>
  </si>
  <si>
    <t>10.2298/ABS210923040A</t>
  </si>
  <si>
    <t>Akbulut, C</t>
  </si>
  <si>
    <t>Akbulut, Cansu</t>
  </si>
  <si>
    <t>ARCHIVES OF BIOLOGICAL SCIENCES</t>
  </si>
  <si>
    <t>triclosan; testis; ovary; TUNEL assay; zebrafish</t>
  </si>
  <si>
    <t>EARLY-LIFE STAGES; REPRODUCTION; TOXICITY; MODEL; OVARY; GILL</t>
  </si>
  <si>
    <t>[Akbulut, Cansu] Sakarya Univ, Sci &amp; Letters Fac, Dept Biol, Serdivan Sakarya, Turkey</t>
  </si>
  <si>
    <t>Akbulut, C (corresponding author), Sakarya Univ, Sci &amp; Letters Fac, Dept Biol, Serdivan Sakarya, Turkey.</t>
  </si>
  <si>
    <t>akbulut, cansu/K-2268-2018</t>
  </si>
  <si>
    <t>akbulut, cansu/0000-0003-4333-7669</t>
  </si>
  <si>
    <t>INST BIOLOSKA ISTRAZIVANJA SINISA STANKOVIC</t>
  </si>
  <si>
    <t>BEOGRAD</t>
  </si>
  <si>
    <t>29 NOVEMBRA 142, BEOGRAD, 11060, SERBIA</t>
  </si>
  <si>
    <t>0354-4664</t>
  </si>
  <si>
    <t>1821-4339</t>
  </si>
  <si>
    <t>ARCH BIOL SCI</t>
  </si>
  <si>
    <t>Arch. Biol. Sci.</t>
  </si>
  <si>
    <t>YA4YL</t>
  </si>
  <si>
    <t>WOS:000738340400004</t>
  </si>
  <si>
    <t>Investigation of tensile strength and elongation properties of chenille upholstery fabrics including recycling polyester yarns</t>
  </si>
  <si>
    <t>Every day, millions of plastic and polyethylene terephthalate bottles are being thrown away by people. This leads not only to the reduction of landfills and increase in environmental problems but also to pollution of marine and oceans that affect the lives of many living things. Therefore, recycling of waste polyethylene terephthalate bottles with recycling technologies has great environmental importance. In this study, recycled polyester yarns obtained by recycling waste polyethylene terephthalate bottles and standard polyester yarns were used in staple forms, as well as binder and pile yarns of the chenille yarn structure. In this context, 16 different chenille yarns were produced and the production parameters such as rotor speed, spindle speed, and pile density are kept constant by selecting the appropriate values. Then, these chenille yarns were used as weft to produce upholstery fabrics. Tensile strength and elongation tests were applied to the upholstery fabrics, and the results were evaluated statistically. As a result of the tensile strength tests and statistical analyses, it is concluded that the weft breaking strength of all types of woven fabrics, which have 100% recycled polyester in the structures of chenille yarns as weft, is slightly decreased compared to other types, but this decrease is not statistically significant. The use of recycled polyester yarns in the structures of chenille yarns, which are widely used in the upholstery sector, will be beneficial in producing more sustainable and eco-friendly fabrics.</t>
  </si>
  <si>
    <t>10.1177/1558925020916040</t>
  </si>
  <si>
    <t>Esi, B; Baykal, PD</t>
  </si>
  <si>
    <t>Esi, Bestem; Baykal, Pinar Duru</t>
  </si>
  <si>
    <t>JOURNAL OF ENGINEERED FIBERS AND FABRICS</t>
  </si>
  <si>
    <t>Recycling; recycled polyester yarn; chenille yarn; tensile strength and elongation</t>
  </si>
  <si>
    <t>[Esi, Bestem] Istanbul Gedik Univ, Fac Engn, Ind Engn, TR-34876 Istanbul, Turkey; [Baykal, Pinar Duru] Cukurova Univ, Fac Engn, Text Engn, Adana, Turkey</t>
  </si>
  <si>
    <t>Gedik University; Cukurova University</t>
  </si>
  <si>
    <t>Esi, B (corresponding author), Istanbul Gedik Univ, Fac Engn, Ind Engn, TR-34876 Istanbul, Turkey.</t>
  </si>
  <si>
    <t>bestem.esi@gedik.edu.tr</t>
  </si>
  <si>
    <t>Cukurova University Scientific Research Projects Department (BAP) [FDK-2018-10067]</t>
  </si>
  <si>
    <t>Cukurova University Scientific Research Projects Department (BAP)</t>
  </si>
  <si>
    <t>We wish to express our appreciation to the employees of Kadifeteks Mensucat Sanayi A.S. for producing the yarn and fabric samples and all other supports. We also thank Cukurova University Scientific Research Projects Department (BAP) for funding (Project Number: FDK-2018-10067).</t>
  </si>
  <si>
    <t>1558-9250</t>
  </si>
  <si>
    <t>J ENG FIBER FABR</t>
  </si>
  <si>
    <t>J. Eng. Fiber Fabr.</t>
  </si>
  <si>
    <t>LR6DK</t>
  </si>
  <si>
    <t>WOS:000535783000001</t>
  </si>
  <si>
    <t>The possible effects of mono butyl phthalate (MBP) and mono (2-ethylhexyl) phthalate (MEHP) on INS-1 pancreatic beta cells</t>
  </si>
  <si>
    <t>Mono-2-ethyhexyl phthalate (MEHP), an environmental xenoestrogen, is widely used in the production of polyvinyl chloride materials and can be easily accumulated in human body. MBP is the active monoester metabolite of di butyl phthalate that is widely used as plasticizer in many products such as plastic toys, food packaging, personal care products, as well as an additive in lubricants, eliminating foams, and lotions. The presented in-nitro cytotoxicity study focused on time-dependent and combinatory exposure scenarios. We chose these phthalates because they are posed a considerable interest because of their contribution to insulin resistance, type-2 diabetes and obesity. All experiments performed in INS-1 pancreatic beta cells show moderate cytotoxicity with a time-dependent increase in effectiveness. INS-1 cells were treated with 0.001, 0.01, 0.1, 1, or 10-mu M MEHP and MBP for 24, 48, and 72 h. Our results showed that cell viability was decreased and total oxidant levels were increased. Also, mRNA expression levels with asscociated beta cells were measured and for MBP dose groups, all mRNA expression levels were decreased. In conclusion, these findings suggest that, MEHP and MBP are have a negative and distruptor role on pancreatic beta cells and it will be linked with insulin resistance and type 2 diabetes. [GRAPHICS] .</t>
  </si>
  <si>
    <t>10.1093/toxres/tfab045</t>
  </si>
  <si>
    <t>Karabulut, G; Barlas, N</t>
  </si>
  <si>
    <t>Karabulut, Gozde; Barlas, Nurhayat</t>
  </si>
  <si>
    <t>TOXICOLOGY RESEARCH</t>
  </si>
  <si>
    <t>mono butyl phthalate; mono (2-ethylhexyl) phthalate; INS-1 pancreatic beta cells; cytotoxicity</t>
  </si>
  <si>
    <t>BISPHENOL-A; HUMAN EXPOSURE; METABOLITES; URINARY; STRESS; SERUM; POLLUTANTS; ESTROGEN; HEALTH; GROWTH</t>
  </si>
  <si>
    <t>[Karabulut, Gozde] Dumlupinar Univ, Fac Sci, Dept Biol, Evliya Celebi Campus, TR-43100 Kutahya, Turkey; [Barlas, Nurhayat] Hacettepe Univ, Sci Fac, Dept Biol, Beytepe Campus, TR-06800 Ankara, Turkey</t>
  </si>
  <si>
    <t>Dumlupinar University; Hacettepe University</t>
  </si>
  <si>
    <t>Barlas, N (corresponding author), Hacettepe Univ, Sci Fac, Dept Biol, Beytepe Campus, TR-06800 Ankara, Turkey.</t>
  </si>
  <si>
    <t>barlas@hacettepe.edu.tr</t>
  </si>
  <si>
    <t>2045-452X</t>
  </si>
  <si>
    <t>2045-4538</t>
  </si>
  <si>
    <t>TOXICOL RES-UK</t>
  </si>
  <si>
    <t>Toxicol. Res.</t>
  </si>
  <si>
    <t>Toxicology</t>
  </si>
  <si>
    <t>TG1DE</t>
  </si>
  <si>
    <t>WOS:000671151100025</t>
  </si>
  <si>
    <t>Valorization of hazelnut cake in compound chocolate: The effect of formulation on rheological and physical properties</t>
  </si>
  <si>
    <t>The aim of this study was to valorize hazelnut (Corylus avellana L) cake (HC), which is a by-product of hazelnut oil industry, in compound chocolate (HCC) as a partial replacer of sugar and milk originated powders (MOP: skimmed milk and whey powder in equal amounts). D-optimal mixture design was used to optimize HCC formulation. The optimum sugar, MOP, and HC amount were selected as 25.0-40.0, 6.0-21.0, and 0.0-15.0 g/100 g, respectively. The Casson model with high R-2 values (0.9882-0.9948) was used to determine yield stress and plastic viscosity values of samples which were varied between 1.47 and 2.35 Pa, and 1.17-1.42 Pa s, respectively. Furthermore, particle sizes and water activity were determined between 25.67 and 78.20 mu m and 0.31-0.38, respectively. Total phenolic content in HCC samples, their digestibility, and bioaccessibility ranged from 1389 to 3367; 2601-3955 mg GAE/kg, and 112-187% respectively. Also, hardness and brittleness were ranged between 7.85 and 11.55 N and 0.52-1.02 mm, respectively. The sensorial characteristics of the samples along with flow behavior and physico-chemical properties indicated that HC may be used as a healthy and low-cost ingredient in HCC formulation to partially substitute sugar and MOP.</t>
  </si>
  <si>
    <t>10.1016/j.lwt.2020.110609</t>
  </si>
  <si>
    <t>Bursa, K; Toker, OS; Palabiyik, I; Yaman, M; Kian-Pour, N; Konar, N; Kilicli, M</t>
  </si>
  <si>
    <t>Bursa, Kubra; Toker, Omer Said; Palabiyik, Ibrahim; Yaman, Mustafa; Kian-Pour, Nasim; Konar, Nevzat; Kilicli, Mahmut</t>
  </si>
  <si>
    <t>LWT-FOOD SCIENCE AND TECHNOLOGY</t>
  </si>
  <si>
    <t>Hazelnut cake; Compound chocolate; Mixture design; Bioaccessibility</t>
  </si>
  <si>
    <t>[Bursa, Kubra; Toker, Omer Said; Kilicli, Mahmut] Yildiz Tech Univ, Chem &amp; Met Fac, Food Engn Dept, Istanbul, Turkey; [Palabiyik, Ibrahim] Namik Kemal Univ, Agr Fac, Food Engn Dept, Tekirdag, Turkey; [Yaman, Mustafa] Istanbul Sabahattin Zaim Univ, Hlth Sci Fac, Nutr &amp; Dietet Dept, Istanbul, Turkey; [Kian-Pour, Nasim] Istanbul Aydin Univ, Sch Appl Sci, Food Technol Dept, Istanbul, Turkey; [Konar, Nevzat] Eskisehir Osmangazi Univ, Food Engn Dept, Agr Fac, Eskisehir, Turkey</t>
  </si>
  <si>
    <t>Yildiz Technical University; Namik Kemal University; Istanbul Sabahattin Zaim University; Istanbul Aydin University; Eskisehir Osmangazi University</t>
  </si>
  <si>
    <t>Konar, N (corresponding author), Eskisehir Osmangazi Univ, Food Engn Dept, TR-26160 Eskisehir, Turkey.</t>
  </si>
  <si>
    <t>KILIÇLI, Mahmut/AAA-6017-2022; Yaman, Mustafa/AAB-7380-2021; Konar, Nevzat/Y-9527-2018; Kılıçlı, Mahmut/AEK-2399-2022; KIAN-POUR, Nasim/ABB-9680-2021</t>
  </si>
  <si>
    <t>Yaman, Mustafa/0000-0001-9692-0204; Konar, Nevzat/0000-0002-7383-3949; KIAN-POUR, Nasim/0000-0001-9558-4077; Bursa, Kubra/0000-0001-5021-868X; KILICLI, MAHMUT/0000-0002-6885-0277</t>
  </si>
  <si>
    <t>TUBITAK, Turkey [TOVAG217O054]</t>
  </si>
  <si>
    <t>TUBITAK, Turkey(Turkiye Bilimsel ve Teknolojik Arastirma Kurumu (TUBITAK))</t>
  </si>
  <si>
    <t>This work was funded by the TUBITAK, Turkey, Project No. TOVAG217O054.</t>
  </si>
  <si>
    <t>0023-6438</t>
  </si>
  <si>
    <t>1096-1127</t>
  </si>
  <si>
    <t>LWT-FOOD SCI TECHNOL</t>
  </si>
  <si>
    <t>LWT-Food Sci. Technol.</t>
  </si>
  <si>
    <t>QB1VV</t>
  </si>
  <si>
    <t>WOS:000613931800094</t>
  </si>
  <si>
    <t>Complex suicides: 21 cases and a review of the literature</t>
  </si>
  <si>
    <t>Background: The use of more than one potentially lethal method together and sequentially to complete suicide is called complex suicide. Complex suicides are divided into two groups: planned and unplanned. This study aimed to discuss with literature 21 complex suicide cases identified after a 2-year retrospective study. Results: This study included 21 complex suicide cases. Eleven were classified as planned complex suicides, and 10 were labeled as unplanned complex suicides. The average age of all cases was 42.5 +/- 17.7 (min: 19, max: 76) years. Suicide notes were present in six (28.5%) cases. Fifteen victims (71.4%) suffered from psychiatric diseases. Twelve victims ingested a toxic dose of medication, nine cases jumped from a height, eight cases used stabbing, six cases used hanging, two cases ingested a corrosive substance, two cases drowned, two cases inhaled a toxic gas, one case ingested cyanide, one case ingested insecticide, and one case used suffocation with a plastic bag. In two cases, three methods of suicide were used together. In the current study, corrosive substance intake + cyanide intoxication and corrosive substance intake + jumping from a height were defined for the first time and have not been previously described in the literature. Conclusions: Complex suicides are highly likely to be potentially mistaken for murder. The cause of death in these cases can be determined with a comprehensive autopsy along with a detailed examination of the scene, statements of relatives, and eyewitnesses.</t>
  </si>
  <si>
    <t>10.1186/s41935-022-00269-3</t>
  </si>
  <si>
    <t>Hosukler, E; Hosukler, B; Coban, I; Koc, S</t>
  </si>
  <si>
    <t>Hosukler, Erdem; Hosukler, Bilgin; Coban, Ismail; Koc, Sermet</t>
  </si>
  <si>
    <t>EGYPTIAN JOURNAL OF FORENSIC SCIENCES</t>
  </si>
  <si>
    <t>Complex suicide; Unplanned complex suicide; Planned complex suicide; Forensic medicine; Autopsy</t>
  </si>
  <si>
    <t>TURKEY; GUNSHOTS</t>
  </si>
  <si>
    <t>[Hosukler, Erdem] Abant Izzet Baysal Univ, Fac Med, Dept Forens Med, Bolu, Turkey; [Hosukler, Bilgin] Usak Univ, Dept Forens Med, Fac Med, Usak, Turkey; [Coban, Ismail] Istanbul Forens Med Inst, Istanbul, Turkey; [Koc, Sermet] Istanbul Univ, Dept Forens Med, Cerrahpasa Fac Med, Istanbul, Turkey</t>
  </si>
  <si>
    <t>Abant Izzet Baysal University; Usak University; Ministry of Justice - Turkey; Istanbul University; Istanbul University - Cerrahpasa</t>
  </si>
  <si>
    <t>Hosukler, E (corresponding author), Abant Izzet Baysal Univ, Fac Med, Dept Forens Med, Bolu, Turkey.</t>
  </si>
  <si>
    <t>drerdemhmakale@gmail.com</t>
  </si>
  <si>
    <t>Coban, Ismail/0000-0001-8154-180X</t>
  </si>
  <si>
    <t>INT ASSOC LAW &amp; FORENSIC SCIENCES</t>
  </si>
  <si>
    <t>CAIRO</t>
  </si>
  <si>
    <t>1 AWAL MAYO BLDG, EL-NASR RD, CAIRO, 11371, EGYPT</t>
  </si>
  <si>
    <t>2090-536X</t>
  </si>
  <si>
    <t>2090-5939</t>
  </si>
  <si>
    <t>EGYPT J FORENSIC SCI</t>
  </si>
  <si>
    <t>Egypt. J. Forensic Sci.</t>
  </si>
  <si>
    <t>FEB 7</t>
  </si>
  <si>
    <t>Medicine, Legal</t>
  </si>
  <si>
    <t>Legal Medicine</t>
  </si>
  <si>
    <t>YU4DN</t>
  </si>
  <si>
    <t>WOS:000751995800001</t>
  </si>
  <si>
    <t>Polyhydroxyalkanoate production using enriched biomass and acidogenic fermentation products of dairy wastewater and organic food waste</t>
  </si>
  <si>
    <t>In this study, the optimization of polyhydroxyalkanoates (PHA) production using acidified dairy wastewater (DW) and organic food waste (OFW) as a substrate source was investigated. The study included (a) acclimation of activated sludge in two sequencing batch reactors operated under different operational conditions (feast-famine and anaerobic-aerobic-anoxic) and fed with domestic wastewater only and with volatile fatty acid (VFA) supplement, (b) acidification experiments designed for the initial substrate to inoculum (S/I) ratios of 1, 2.5, 5 and 10 g tCOD/g VSS (tCOD total chemical oxygen demand and VSS - volatile suspended solids) using DW and OFW, (c) batch experiments for PHA production using each acidified substrate source. The maximum acidification yields were obtained at the S/I ratio of 10 as 51.7% and 46.6% for DW and OFW at 4th d. PHA contents of up to 67.3% and 4.5% of dry cell weight were obtained using VFA obtained from acidification of DW and OFW, respectively. Accordingly, the results showed that acidification of 1000 m(3) of DW and one tone of the wet weight of OFW could produce 173 and 20.3 kg of polymer, respectively. This could be attributed to a significant profit when a large amount of DW and OFW is considered.</t>
  </si>
  <si>
    <t>10.5004/dwt.2021.26790</t>
  </si>
  <si>
    <t>Karaca, S; Yagci, N; Randall, CW</t>
  </si>
  <si>
    <t>Karaca, Selin; Yagci, Nevin; Randall, Clifford W.</t>
  </si>
  <si>
    <t>Biomass acclimation; Dairy wastewater; Organic food waste; Acidification; PHA accumulation</t>
  </si>
  <si>
    <t>PHA PRODUCTION; CHEESE WHEY; SLUDGE; FEEDSTOCK; DIGESTION; PLASTICS</t>
  </si>
  <si>
    <t>[Karaca, Selin; Yagci, Nevin] Istanbul Tech Univ, Fac Civil Engn, Environm Engn Dept, TR-34469 Istanbul, Turkey; [Randall, Clifford W.] Virginia Tech, Dept Civil &amp; Environm Engn, Blacksburg, VA 24061 USA</t>
  </si>
  <si>
    <t>Istanbul Technical University; Virginia Polytechnic Institute &amp; State University</t>
  </si>
  <si>
    <t>Yagci, N (corresponding author), Istanbul Tech Univ, Fac Civil Engn, Environm Engn Dept, TR-34469 Istanbul, Turkey.</t>
  </si>
  <si>
    <t>slnkaraca@gmail.com; yagcin@itu.edu.tr; cliff@vt.edu</t>
  </si>
  <si>
    <t>Yagci, Nevin/L-9294-2015</t>
  </si>
  <si>
    <t>Yagci, Nevin/0000-0003-4286-6542</t>
  </si>
  <si>
    <t>Research Fund of Istanbul Technical University [41142]</t>
  </si>
  <si>
    <t>Research Fund of Istanbul Technical University</t>
  </si>
  <si>
    <t>The work was supported financially by the Research Fund of Istanbul Technical University (Project number 41142).</t>
  </si>
  <si>
    <t>SD0RB</t>
  </si>
  <si>
    <t>WOS:000651069000034</t>
  </si>
  <si>
    <t>Inhibitory effect of Bisphenol A on in vitro feline uterine contractions</t>
  </si>
  <si>
    <t>Bisphenol A (BPA) is an environmental pollutant used as a plasticizer in the manufacture of many plastic products, such as packaging, containers, and water and beverage bottles. There are deleterious effects of BPA on metabolic, endocrine, nervous, and reproductive systems. This is the first study in which there was investigation of the in vitro effect of BPA on the spontaneous contractions of the cat uterus. The tubal uterine segments (1 cm) collected from queens in estrus were suspended in an isolated organ bath. Following tissue stabilization, spontaneous contractions were recorded for 10 min to constitute the control group. The effects of the solvent (alcohol) and BPA at different concentrations (1, 10, and 100 mu M) on uterine contractions were subsequently evaluated at 10 min intervals in terms of frequency and mean amplitude variables. The ethanol vehicle did not alter the uterine contractions compared to the control group. All concentrations of BPA used in the study resulted in a reduction (P &lt; 0.05) in amplitude of uterine contractions in a dose-dependent manner, while only the largest dose of BPA decreased the frequency of contractions (P &lt; 0.05). In reproductive physiology, regular uterine contractions facilitate successful fertilization, migration, implantation, and maintenance of pregnancy, as well as fetus expulsion. The results of this study indicate BPA has an inhibitory effect on spontaneous contractions of the cat uterus. It is proposed that this suppressive effect of BPA on uterine contractions might lead to queen infertility.</t>
  </si>
  <si>
    <t>10.1016/j.anireprosci.2019.03.017</t>
  </si>
  <si>
    <t>Kabakci, R; Macun, HC; Polat, IM; Yildirim, E</t>
  </si>
  <si>
    <t>Kabakci, Ruhi; Macun, Hasan Ceyhun; Polat, Ibrahim Mert; Yildirim, Ebru</t>
  </si>
  <si>
    <t>ANIMAL REPRODUCTION SCIENCE</t>
  </si>
  <si>
    <t>BPA; Cats; Feline uterus; Spontaneous contraction</t>
  </si>
  <si>
    <t>STEROID-HORMONE PRODUCTION; INTRACELLULAR FREE CALCIUM; MOLECULAR-MECHANISMS; REPRODUCTIVE HEALTH; ESTROGEN-RECEPTOR; MYOMETRIAL CELLS; EXPOSURE; RISK; HYPERTHYROIDISM; PROGESTERONE</t>
  </si>
  <si>
    <t>[Kabakci, Ruhi] Kirikkale Univ, Fac Vet Med, Dept Physiol, TR-71450 Yahsihan, Kirikkale, Turkey; [Macun, Hasan Ceyhun; Polat, Ibrahim Mert] Kirikkale Univ, Fac Vet Med, Dept Obstet &amp; Gynecol, TR-71450 Yahsihan, Kirikkale, Turkey; [Yildirim, Ebru] Kirikkale Univ, Fac Vet Med, Dept Pharmacol &amp; Toxicol, TR-71450 Yahsihan, Kirikkale, Turkey</t>
  </si>
  <si>
    <t>Kirikkale University; Kirikkale University; Kirikkale University</t>
  </si>
  <si>
    <t>Kabakci, R (corresponding author), Kirikkale Univ, Fac Vet Med, Dept Physiol, TR-71450 Yahsihan, Kirikkale, Turkey.</t>
  </si>
  <si>
    <t>ruhikabakci@kku.edu.tr</t>
  </si>
  <si>
    <t>KABAKÇI, Ruhi/AAG-9512-2019</t>
  </si>
  <si>
    <t>KABAKÇI, Ruhi/0000-0001-9131-0933</t>
  </si>
  <si>
    <t>0378-4320</t>
  </si>
  <si>
    <t>1873-2232</t>
  </si>
  <si>
    <t>ANIM REPROD SCI</t>
  </si>
  <si>
    <t>Anim. Reprod. Sci.</t>
  </si>
  <si>
    <t>Agriculture, Dairy &amp; Animal Science; Reproductive Biology; Veterinary Sciences</t>
  </si>
  <si>
    <t>Agriculture; Reproductive Biology; Veterinary Sciences</t>
  </si>
  <si>
    <t>IA9WJ</t>
  </si>
  <si>
    <t>WOS:000469907300004</t>
  </si>
  <si>
    <t>Identification of resistance to bacterial canker (Pseudomonas syringae pv. syringae) disease on apricot genotypes grown in Turkey</t>
  </si>
  <si>
    <t>Bacterial canker caused by Pseudomonas syringae pv. syrinage (Pss) in apricot has widely spread in Turkey, especially in Malatya province, in recent years. The main objective of this study was to determine resistance of apricot cultivars to bacterial canker caused by Pss in apricot cultivars grown in Turkey. During the 2006-2007 growing period, bacterial isolations were taken from diseased apricot trees in Malatya and 53 Pseudomonas syringae isolates were obtained. Forty-two isolates were determined as Pseudomonas syringae pv. syringae and 11 isolates as pv. morsprunorum. In a pathogenicity test, leaves of cv. Hacihaliloglu were used and five Pss isolates (K24, K25, K43, K47 and K51) were detected to be the most virulent and were used to test for cultivar resistance to Pss. Leaves of fifteen apricot cultivars (Alyanak, Cataloglu, Cologlu, Erken Agerik, Hacihaliloglu, Hasanbey, A degrees smailaga, KabaaAYi, Karacabey, Sakit 2, Soganci, Aam, Aekerpare, Tokaloglu (Erzincan) and Turfanda Eski Malatya) were tested for resistance to Pss. Green shoots were spray-inoculated with a concentration of 10(8) cfu ml(-1) Pss mixed culture. Sprayed shoots were covered with moist plastic bags for 3 days and maintained in the growth chamber and monitored for symptom development. Hasanbey, Cologlu, Soganci and Aekerpare apricot cultivars were resistant and Aam, Tokaloglu (Erzincan) and Erken Agerik apricot cultivars were susceptible to Pss. This is the first report of a resistance source in apricot cultivars grown in Turkey against Pss.</t>
  </si>
  <si>
    <t>10.1007/s10658-009-9536-x</t>
  </si>
  <si>
    <t>Donmez, MF; Karlidag, H; Esitken, A</t>
  </si>
  <si>
    <t>Donmez, M. Figen; Karlidag, Huseyin; Esitken, Ahmet</t>
  </si>
  <si>
    <t>EUROPEAN JOURNAL OF PLANT PATHOLOGY</t>
  </si>
  <si>
    <t>Prunus armeniaca; Bacterial canker; Isolation; Identification; Cultivar response; Resistance</t>
  </si>
  <si>
    <t>TREES; MICHIGAN; CHERRY</t>
  </si>
  <si>
    <t>[Esitken, Ahmet] Ataturk Univ, Dept Hort, Fac Agr, TR-25240 Erzurum, Turkey; [Donmez, M. Figen] Ataturk Univ, Dept Plant Protect, Fac Agr, TR-25240 Erzurum, Turkey; [Karlidag, Huseyin] Ataturk Univ, Ispir Tech Vocat Sch, TR-25900 Ispir Erzurum, Turkey</t>
  </si>
  <si>
    <t>Ataturk University; Ataturk University; Ataturk University</t>
  </si>
  <si>
    <t>Esitken, A (corresponding author), Ataturk Univ, Dept Hort, Fac Agr, TR-25240 Erzurum, Turkey.</t>
  </si>
  <si>
    <t>aesitken@atauni.edu.tr</t>
  </si>
  <si>
    <t>Karlıdağ, Hüseyin/AAG-8732-2019; Eşitken, Ahmet/AHB-0558-2022</t>
  </si>
  <si>
    <t>Eşitken, Ahmet/0000-0002-6140-7782</t>
  </si>
  <si>
    <t>0929-1873</t>
  </si>
  <si>
    <t>1573-8469</t>
  </si>
  <si>
    <t>EUR J PLANT PATHOL</t>
  </si>
  <si>
    <t>Eur. J. Plant Pathol.</t>
  </si>
  <si>
    <t>Agronomy; Plant Sciences; Horticulture</t>
  </si>
  <si>
    <t>Agriculture; Plant Sciences</t>
  </si>
  <si>
    <t>536ZZ</t>
  </si>
  <si>
    <t>WOS:000273083800010</t>
  </si>
  <si>
    <t>Friction and wear behavior of epoxy composite filled with industrial wastes</t>
  </si>
  <si>
    <t>Waste utilization is an important alternative to reduce disposal costs, potential environmental pollution problems, decrement of natural resources and production costs. In this study, it is aimed to create a different usage area for the slag wastes that cause problems to the environment and factories. For this purpose, the usability of slags (blast furnace, ferrochromium and converter) as a reinforcement material in epoxy composites were investigated for tribological applications. Epoxy matrix composites were produced by adding 30% of reinforcements with 61 mu m size. The epoxy composites were tested against a stationary Al2O3 ball in a ball-on-disk tester under the loads of 10, 15 and 20 N, at a sliding distance of 300 m and a rotational speed of 300 rpm. Wear mechanisms were also investigated by Scanning Electron Microscopy. Mostly, the slag fillers showed higher wear resistance than the Al2O3 reinforced composites. Among the slag fillers, the blast furnace exhibited superior tribological performance. While Al2O3 and blast furnace slag reinforced composites showed plastic deformation due to fatigue, transverse cracks and displaced reinforcement particles were observed in ferrochromium slag and converter slag reinforced composites. Increasing the applied load caused acceleration in wear rate. Thermal conductivity was increased by particle addition, which contributed to the improvement of the wear performance. This study provided that industrial wastes can be used as reinforcement material in composites and thus a cleaner environment can be obtained. (C) 2019 Elsevier Ltd. All rights reserved.</t>
  </si>
  <si>
    <t>10.1016/j.jclepro.2019.07.063</t>
  </si>
  <si>
    <t>Erdogan, A; Gok, MS; Koc, V; Gunen, A</t>
  </si>
  <si>
    <t>Erdogan, Azmi; Gok, Mustafa Sabri; Koc, Vahdettin; Gunen, Ali</t>
  </si>
  <si>
    <t>Epoxy; Composite; Blast furnace slag; Ferrochromium slag; Converter slag</t>
  </si>
  <si>
    <t>DRY SLIDING WEAR; TRIBOLOGICAL PERFORMANCE; GRAPHITE FILLER; STEEL SLAG; FLY-ASH; TEMPERATURE; RESISTANCE</t>
  </si>
  <si>
    <t>[Erdogan, Azmi] Bartin Univ, Fac Engn, Dept Met &amp; Mat Engn, TR-74100 Bartin, Turkey; [Gok, Mustafa Sabri] Bartin Univ, Fac Engn, Dept Mech Engn, TR-74100 Bartin, Turkey; [Koc, Vahdettin] Adiyaman Univ, Dept Machine &amp; Met Technol, Vocat Sch Tech Sci, TR-02000 Adiyaman, Turkey; [Gunen, Ali] Iskenderun Tech Univ, Dept Met &amp; Mat Engn, Fac Engn &amp; Nat Sci, TR-31200 Antakya, Turkey</t>
  </si>
  <si>
    <t>Bartin University; Bartin University; Adiyaman University; Iskenderun Technical University</t>
  </si>
  <si>
    <t>Gunen, A (corresponding author), Iskenderun Tech Univ, Dept Met &amp; Mat Engn, Fac Engn &amp; Nat Sci, TR-31200 Antakya, Turkey.</t>
  </si>
  <si>
    <t>ali.gunen@iste.edu.tr</t>
  </si>
  <si>
    <t>gunen, ali/0000-0002-4101-9520</t>
  </si>
  <si>
    <t>IU3DX</t>
  </si>
  <si>
    <t>WOS:000483462700011</t>
  </si>
  <si>
    <t>Effects of chopping length and compaction values on the feed qualities of sunflower silage</t>
  </si>
  <si>
    <t>This study was conducted to determine the feed qualities of sunflower silages produced with different chopping lengths and under different compaction values. Olivia species sunflower was used in the study. Sunflowers were harvested at the grain-dough maturity stage using silage machine. Dry matter rate on harvesting was 298.5 g/kg and plants were cut in the lengths ranging between 1 and 4 cm. Cut material was divided into three groups in three different plastic containers, which have the same volume of 60 L and these containers were applied to three different compaction values of 1, 2 and 3 MPa, respectively using a hydraulic press whose pressure values can be regulated. At the end of the fermentation period of 60 days, sunflower silages were analysed chemically. Mean dry matter content of total sunflower silages was 287.2 g/kg, mean pH value was 4.29, crude protein content was 95.5 g/kgDM, ADF content was 429.6 g/kgDM, and NDF content was 434.6 g/kgDM and Fleig score was 91.04. Larger chopping length increased the pH value of sunflower silage (p &lt; 0.01) and ADF content (p &lt; 0.05), while decreasing the Fleig score (p &lt; 0.01). Under increased compaction values, pH values decreased (p &lt; 0.05) and Fleig score increased (p &lt; 0.01). It was consequently found in the study that sunflower silage with higher feed quality was obtained with the crops harvested at grain-dough maturity stage, cut into 1 cm length and compressed under 3 MPa.</t>
  </si>
  <si>
    <t>Yildiz, C; Ozturk, I; Erkmen, Y</t>
  </si>
  <si>
    <t>Yildiz, Cihat; Ozturk, Ismail; Erkmen, Yucel</t>
  </si>
  <si>
    <t>Sunflower silage; chopping length; compaction; feed quality</t>
  </si>
  <si>
    <t>CORN; DIGESTIBILITY</t>
  </si>
  <si>
    <t>[Yildiz, Cihat; Ozturk, Ismail; Erkmen, Yucel] Ataturk Univ, Fac Agr, Dept Agr Machinery, TR-25240 Erzurum, Turkey</t>
  </si>
  <si>
    <t>Yildiz, C (corresponding author), Ataturk Univ, Fac Agr, Dept Agr Machinery, TR-25240 Erzurum, Turkey.</t>
  </si>
  <si>
    <t>cyildiz@atauni.edu.tr</t>
  </si>
  <si>
    <t>Center of Agricultural Research of Ataturk University, Erzurum, Turkey</t>
  </si>
  <si>
    <t>Center of Agricultural Research of Ataturk University, Erzurum, Turkey(Ataturk University)</t>
  </si>
  <si>
    <t>The authors are grateful for field, machine and silage material support from the Center of Agricultural Research of Ataturk University, Erzurum, Turkey. The first author thank Prof. Zwika Weinberg from the Agricultural Research Organization, The Volcany Center, Israel for reviewing the manuscript.</t>
  </si>
  <si>
    <t>AUG 4</t>
  </si>
  <si>
    <t>648YQ</t>
  </si>
  <si>
    <t>WOS:000281731900013</t>
  </si>
  <si>
    <t>Investigation of treatment process and treatment sufficiency of marble mine wastewater: a case study in Turkey</t>
  </si>
  <si>
    <t>In this study, wastewater formed in marble mines operated as open mines with the aid of a cutting slope in the soil clarification tanks, which were made impermeable by using membranes and similar impermeable elements, was collected after the sedimentation process. The reusability of the water during the process was also investigated. In the marble mines where the study was carried out, an average of 25 m(3)/day of water is used as the process water for cutting operations. It is thought that similar to 10 m(3)/day of this water is evaporated or remains between the marble blocks. However, in the facility, 15 m(3)/day of wastewater was collected in the clarification tank that was made impermeable with a plastic cover. The initial (I) and final (F) values for the suspended solid (SS), pH, colour (C), oil and grease (OG) and Cr6+ were determined as SSI = 106.5 mg/l, SSF = 58.3 mg/l, pH(I) = 8.06, pH(F) = 7.93, C-I = 83.5 (Pt-Co), C-F = 47.5 (Pt-Co), (Cr6+)(I) = &lt; 0.05 mg/l, (Cr6+)(F) = &lt; 0.05 mg/l, OG(I) = 8.7 mg/l and OG(F) = 2.3 mg/l. The fact that these values are below the required limits in the Water Pollution Control Regulation applied in Turkey indicates that the treatment is successful and that the clarification tank is working effectively. Therefore, this method can be used successfully in marble mines.</t>
  </si>
  <si>
    <t>10.1007/s10668-019-00494-2</t>
  </si>
  <si>
    <t>Dede, OH; Dede, C; Sakar, S; Sazak, M; Ozer, H</t>
  </si>
  <si>
    <t>Dede, Omer Hulusi; Dede, Cemile; Sakar, Sueleyman; Sazak, Mueserref; Ozer, Hasan</t>
  </si>
  <si>
    <t>ENVIRONMENT DEVELOPMENT AND SUSTAINABILITY</t>
  </si>
  <si>
    <t>Wastewater treatment; Marble mine; Treatment sufficiency; Treatment process</t>
  </si>
  <si>
    <t>[Dede, Omer Hulusi] Sakarya Univ Appl Sci, TR-54187 Sakarya, Turkey; [Dede, Cemile; Sazak, Mueserref; Ozer, Hasan] Sakarya Univ, Dept Environm Engn, Sakarya, Turkey; [Sakar, Sueleyman] Yildiz Tech Univ, Dept Environm Engn, Istanbul, Turkey</t>
  </si>
  <si>
    <t>Sakarya University of Applied Science; Sakarya University; Yildiz Technical University</t>
  </si>
  <si>
    <t>Dede, OH (corresponding author), Sakarya Univ Appl Sci, TR-54187 Sakarya, Turkey.</t>
  </si>
  <si>
    <t>ohdede@subu.edu.tr</t>
  </si>
  <si>
    <t>Çınar, Nursan/HTO-6015-2023</t>
  </si>
  <si>
    <t>Çınar, Nursan/0000-0003-3151-9975</t>
  </si>
  <si>
    <t>BILCED Company/Bilecik</t>
  </si>
  <si>
    <t>We would like to thank to the BILCED Company/Bilecik for their support for the realization of this study and especially for their contribution to field studies.</t>
  </si>
  <si>
    <t>1387-585X</t>
  </si>
  <si>
    <t>1573-2975</t>
  </si>
  <si>
    <t>ENVIRON DEV SUSTAIN</t>
  </si>
  <si>
    <t>Environ. Dev. Sustain.</t>
  </si>
  <si>
    <t>Green &amp; Sustainable Science &amp; Technology; Environmental Sciences</t>
  </si>
  <si>
    <t>NH9YO</t>
  </si>
  <si>
    <t>WOS:000490847700001</t>
  </si>
  <si>
    <t>Information Requirements and Difficulties Experienced After Discharge in Day Surgery Patients: A Descriptive Cross-Sectional Survey</t>
  </si>
  <si>
    <t>Objective: Day surgery procedures have increasingly been used nowadays as a result of improvements in surgical techniques, anesthesia and analgesia techniques and they are preferred for their benefits to the patient and to the healthcare system. However, it is known that day surgery patients may face many problems in the perioperative period. This research was conducted determin the difficulties experienced by day surgery patients and their information requirements. Material and Methods: The study was designed as a cross-sectional and descriptive survey. It was conducted in 2003 for a total of 12 months, with the participation of 230 patients who had surgery in urology, orthopedics, ear nose throat, ophthalmology, plastic surgery or general surgery clinics and were hospitalized in the day surgery unit of a university hospital in Ankara Province. Data were collected using Patient's Personal Information and Knowledge Requirements and Difficulties Experienced After Hospital Discharge forms. Results: The research results showed that day surgery patients had deficient knowledge regarding the day surgery process and they experienced problems after discharge at home especially within the first three postoperative days. Mainly, the problems were related to the surgical site and the respiratory, digestive, nervous, urinary and musculoskeletal systems. Conclusions: Day surgery patients experienced many problems in the postoperative period and their knowledge on the solution of these problems and the day surgery process was insufficient. Therefore, we recommend to give the patients and their relatives sufficiently detailed verbal and written information on the day surgery process.</t>
  </si>
  <si>
    <t>10.5336/medsci.2009-13582</t>
  </si>
  <si>
    <t>Cilingir, D; Bayraktar, N</t>
  </si>
  <si>
    <t>Cilingir, Dilek; Bayraktar, Nurhan</t>
  </si>
  <si>
    <t>TURKIYE KLINIKLERI TIP BILIMLERI DERGISI</t>
  </si>
  <si>
    <t>Ambulatory surgical procedures; postoperative complications</t>
  </si>
  <si>
    <t>AMBULATORY SURGERY; INTERVIEW; EVOLUTION</t>
  </si>
  <si>
    <t>[Cilingir, Dilek] Karadeniz Tech Univ, Trabzon Hlth Sch, Trabzon, Turkey; [Bayraktar, Nurhan] Hacettepe Univ, Sch Nursing, Ankara, Turkey</t>
  </si>
  <si>
    <t>Karadeniz Technical University; Hacettepe University</t>
  </si>
  <si>
    <t>Cilingir, D (corresponding author), Karadeniz Tech Univ, Trabzon Hlth Sch, Trabzon, Turkey.</t>
  </si>
  <si>
    <t>dilekcilingir1@yahoo.com</t>
  </si>
  <si>
    <t>Cilingir, Dilek/AAK-8312-2021</t>
  </si>
  <si>
    <t>ORTADOGU AD PRES &amp; PUBL CO</t>
  </si>
  <si>
    <t>TURKOCAGI CAD NO 30, BALGAT, ANKARA, 06520, TURKEY</t>
  </si>
  <si>
    <t>1300-0292</t>
  </si>
  <si>
    <t>TURK KLIN TIP BILIM</t>
  </si>
  <si>
    <t>Turk. Klin. Tip Bilim. Derg.</t>
  </si>
  <si>
    <t>760VU</t>
  </si>
  <si>
    <t>hybrid, Green Submitted</t>
  </si>
  <si>
    <t>WOS:000290353100021</t>
  </si>
  <si>
    <t>TRANSLUMINAL BALLOON DILATATION OF THE LACRIMAL DRAINAGE SYSTEM FOR THE TREATMENT OF EPIPHORA</t>
  </si>
  <si>
    <t>OBJECTIVE. The purpose of this study was to evaluate the efficacy of transluminal balloon dilatation done under digital subtraction fluoroscopic monitoring in the treatment of incomplete and complete obstruction of the lacrimal drainage system (LDS) in patients with epiphora. SUBJECTS AND METHODS. Transluminal balloon dilatation of the LDS was attempted in 19 eyes with incomplete and 61 eyes with complete obstruction, including six cases of anastomotic obstruction after failed dacryocystorhinostomy. A soft plastic arterial sheath over a stump-guiding metal probe was introduced through the superior canaliculus into the nasolacrimal apparatus. A 0.016-in. specially angled steerable guidewire was introduced through the sheath and across the site of obstruction, advanced into the nasal cavity, and brought forward through the external nare. A low-profile angioplasty balloon dilatation catheter was passed retrograde over the guidewire through the nasal aperture to the site of obstruction and inflated for dilatation. RESULTS. Technical success was achieved in all 19 eyes with incomplete obstruction and in 46 (75%) of 61 eyes with complete obstruction. Initial success was achieved in all 19 eyes with incomplete obstruction and in 36 (59%) of 61 eyes with complete obstruction. In a follow-up period of 6-18 months (mean, 13 months), reobstruction occurred in none of the eyes with incomplete and in two eyes with complete obstruction. CONCLUSION. Our experience shows that transluminal balloon dilatation is an effective treatment for incomplete obstruction of the LDS. The procedure has a high failure and recurrence rate when the obstruction is complete.</t>
  </si>
  <si>
    <t>10.2214/ajr.165.6.7484599</t>
  </si>
  <si>
    <t>ILGIT, ET; YUKSEL, D; UNAL, M; AKPEK, S; ISIK, S; HASANREISOGLU, B</t>
  </si>
  <si>
    <t>AMERICAN JOURNAL OF ROENTGENOLOGY</t>
  </si>
  <si>
    <t>COMPLETE OBSTRUCTION; NASOLACRIMAL SYSTEM; DACRYOCYSTOPLASTY; DILATION</t>
  </si>
  <si>
    <t>GAZI UNIV,SCH MED,DEPT OPHTHALMOL,ANKARA,TURKEY</t>
  </si>
  <si>
    <t>ILGIT, ET (corresponding author), GAZI UNIV,SCH MED,DEPT DIAGNOST RADIOL,BESEVLER 06510,ANKARA,TURKEY.</t>
  </si>
  <si>
    <t>AMER ROENTGEN RAY SOC</t>
  </si>
  <si>
    <t>RESTON</t>
  </si>
  <si>
    <t>1891 PRESTON WHITE DR SUBSCRIPTION FULFILLMENT, RESTON, VA 22091</t>
  </si>
  <si>
    <t>0361-803X</t>
  </si>
  <si>
    <t>AM J ROENTGENOL</t>
  </si>
  <si>
    <t>Am. J. Roentgenol.</t>
  </si>
  <si>
    <t>Radiology, Nuclear Medicine &amp; Medical Imaging</t>
  </si>
  <si>
    <t>TF768</t>
  </si>
  <si>
    <t>WOS:A1995TF76800046</t>
  </si>
  <si>
    <t>Effects of whey powder on fermentation quality, nutritive value, and digestibility of alfalfa silage</t>
  </si>
  <si>
    <t>The aim of the study was to investigate the effects of whey powder (WP) on the fermentation quality, nutritive value, and digestibility of ensiled alfalfa (Medicago sativa L.). Alfalfa treated with different doses of WP (0, 2, and 4% fresh matter silage) was ensiled in plastic drums for 60 days. The results of the study revealed that the physicochemical composition and fermentation quality of the alfalfa silage improved and that mold growth was inhibited in the groups treated with 2 and 4% WP in comparison to that in the control. Production of CO2 (day 7) was much lower in silages treated with 2 and 4% WP (3.77 and 1.85 g/kg dry matter (DM), respectively) than in the control group (21.36 g/kg DM). In addition, in vivo dry matter digestibility (DMD) was much higher in the group treated with 4% WP (76.45%) than in the control one (55.82%). In this treatment group, all apparent digestibility of coefficients in vivo from crude nutrient contents and cell wall fractions significantly increased and hence raised the net lactation energy value from 1.18 to 1.31 Mcal/kg DM. However, although the in vitro DMD was higher in the silages treated with WP than in the control one and the dose was significant, there was no strong correlation between in vivo and in vitro values. According to our results, WP could provide an advantage for the conservation of alfalfa silage. In addition, WP could be evaluated as a sustainable silage additive.</t>
  </si>
  <si>
    <t>10.22358/jafs/146345/2022</t>
  </si>
  <si>
    <t>Ozuretmen, S; Ozelcam, H; Ipcak, HH</t>
  </si>
  <si>
    <t>Ozuretmen, S.; Ozelcam, H.; Ipcak, H. H.</t>
  </si>
  <si>
    <t>JOURNAL OF ANIMAL AND FEED SCIENCES</t>
  </si>
  <si>
    <t>alfalfa; digestibility; net energy; silage; whey powder</t>
  </si>
  <si>
    <t>[Ozuretmen, S.; Ozelcam, H.] Ege Univ, Fac Agr, Dept Anim Sci, TR-35100 Izmir, Turkey; [Ipcak, H. H.] Dicle Univ, Fac Agr, Dept Anim Sci, TR-21280 Diyarbakir, Turkey</t>
  </si>
  <si>
    <t>Ege University; Dicle University</t>
  </si>
  <si>
    <t>Ozuretmen, S (corresponding author), Ege Univ, Fac Agr, Dept Anim Sci, TR-35100 Izmir, Turkey.</t>
  </si>
  <si>
    <t>sema.ozuretmen@cpturkiye.com</t>
  </si>
  <si>
    <t>IPCAK, HASAN HUSEYIN/0000-0002-6807-8870</t>
  </si>
  <si>
    <t>TUBITAK 1002 -Short Term R&amp;D Funding Programme [116 O 110]; TUBITAK</t>
  </si>
  <si>
    <t>TUBITAK 1002 -Short Term R&amp;D Funding Programme(Turkiye Bilimsel ve Teknolojik Arastirma Kurumu (TUBITAK)); TUBITAK(Turkiye Bilimsel ve Teknolojik Arastirma Kurumu (TUBITAK))</t>
  </si>
  <si>
    <t>This study was supported by TUBITAK 1002 -Short Term R&amp;D Funding Programme (No: 116 O 110) and was included part of Sema OZURETMEN's PhD thesis. Those who participated were as follows: SO: original draft, conceptualization, investigation, data collection, formal analysis, and writing; HO: original draft, conceptualization, project administration, supervision, validation, and editing; HHI: in vitro digestibility and the correlation between in vitro and in vivo parameters and contributed to writing this article. The authors also thank TUBITAK for financial support.</t>
  </si>
  <si>
    <t>KIELANOWSKI INST ANIMAL PHYSIOLOGY NUTRITION</t>
  </si>
  <si>
    <t>JABLONNA</t>
  </si>
  <si>
    <t>UL INSTYTUCKA 3, 05-110 JABLONNA, POLAND</t>
  </si>
  <si>
    <t>1230-1388</t>
  </si>
  <si>
    <t>J ANIM FEED SCI</t>
  </si>
  <si>
    <t>J. Anim. Feed Sci.</t>
  </si>
  <si>
    <t>1X8KP</t>
  </si>
  <si>
    <t>WOS:000807699700008</t>
  </si>
  <si>
    <t>Growth rate, carcass characteristics and meat quality of growing lambs fed buckwheat or maize silage</t>
  </si>
  <si>
    <t>Objective: This study evaluated inclusion of buckwheat silage to the diet of growing lambs in terms of meat quality as compared to maize silage. Methods: Buckwheat, rich in total phenols (TP, 33 g/kg dry matter [DM]), was harvested at the end of the milk stage and ensiled in 40 kg plastic bags after wilting (294 g/kg silage DM). A total of 18 growing lambs (21.6 +/- 1.2) were individually fed isonitrogenous and isoenergetic total mixed rations (TMR) for 75 d that either contained buckwheat or maize silage at DM proportions of 0.50. At the end of feeding trail all lambs were slaughtered to assess carcass characteristics and meat quality. Results: Buckwheat silage increased (p&lt; 0.01) the DM intake of lambs as compared to maize silage, but had no effects (p&gt; 0.05) on live weight gain and feed efficiency. Carcass weight, dressing percentage, meat pH, water holding capacity, cooking loss, shear force (kg/cm(2)), and total viable bacteria count of meat did not differ (p&gt; 0.05) between the treatments. However, TP content of meat increased (p&lt; 0.001) by feeding buckwheat TMR. Feeding buckwheat TMR also decreased (p&lt; 0.05) the b* values of meat. Conclusion: The results provide that buckwheat silage is palatable and could successfully include TMR of growing lambs with no adverse effects on performance, carcass and meat quality. Additionally, feeding buckwheat silage to lambs offers increased TP in meat.</t>
  </si>
  <si>
    <t>10.5713/ajas.17.0296</t>
  </si>
  <si>
    <t>Keles, G; Kocaman, V; Ustundag, AO; Zungur, A; Ozdogan, M</t>
  </si>
  <si>
    <t>Keles, Gurhan; Kocaman, Veli; Ustundag, Ahmet Onder; Zungur, Asli; Ozdogan, Mursel</t>
  </si>
  <si>
    <t>ASIAN-AUSTRALASIAN JOURNAL OF ANIMAL SCIENCES</t>
  </si>
  <si>
    <t>Buckwheat Silage; Lamb; Meat Quality; Phenolic Compounds</t>
  </si>
  <si>
    <t>IN-VITRO; FAGOPYRUM-ESCULENTUM; PHENOLIC-COMPOUNDS; FEEDING SYSTEM; PERFORMANCE; COWS; DIGESTIBILITY; FERMENTATION; GENOTYPE; FORAGE</t>
  </si>
  <si>
    <t>[Keles, Gurhan; Kocaman, Veli; Ustundag, Ahmet Onder] Adnan Menderes Univ, Dept Anim Sci, Fac Agr, TR-09100 Aydin, Turkey; [Zungur, Asli; Ozdogan, Mursel] Adnan Menderes Univ, Dept Food Engn, Fac Engn, TR-09100 Aydin, Turkey</t>
  </si>
  <si>
    <t>Adnan Menderes University; Adnan Menderes University</t>
  </si>
  <si>
    <t>Keles, G (corresponding author), Adnan Menderes Univ, Dept Anim Sci, Fac Agr, TR-09100 Aydin, Turkey.</t>
  </si>
  <si>
    <t>gurhankeles@msn.com</t>
  </si>
  <si>
    <t>Keles, Gurhan/HKM-3821-2023; Bastıoğlu, Aslı Zungur/AAD-7897-2021; Ozdogan, Mursel/AGL-3774-2022; ÜSTÜNDAĞ, Önder/ISB-2964-2023</t>
  </si>
  <si>
    <t>Ozdogan, Mursel/0000-0002-5981-9155</t>
  </si>
  <si>
    <t>Scientific and Technological Research Council of Turkey (TUBITAK) [112O896]</t>
  </si>
  <si>
    <t>We acknowledge the Scientific and Technological Research Council of Turkey (TUBITAK) for financial support in undertaking this study (Project no: 112O896).</t>
  </si>
  <si>
    <t>ASIAN-AUSTRALASIAN ASSOC ANIMAL PRODUCTION SOC</t>
  </si>
  <si>
    <t>ROOM 708 SAMMO SPOREX, 1638-32, SEOWON-DONG, GWANAK-GU, SEOUL 151-730, SOUTH KOREA</t>
  </si>
  <si>
    <t>1011-2367</t>
  </si>
  <si>
    <t>1976-5517</t>
  </si>
  <si>
    <t>ASIAN AUSTRAL J ANIM</t>
  </si>
  <si>
    <t>Asian Australas. J. Anim. Sci.</t>
  </si>
  <si>
    <t>FX2KO</t>
  </si>
  <si>
    <t>WOS:000425889000008</t>
  </si>
  <si>
    <t>Endoscopic closure of an endoscope-related duodenal perforation using the over-the-scope clip</t>
  </si>
  <si>
    <t>Perforations of the duodenum are a significant source of morbidity in clinical practice. Surgical repair is usually mandated, but it is associated with significant morbidity and mortality. Until recently, there has been no technique available which reproducibly and safely allowed endoscopic closures of penetrating defects within the digestive tract. With the new over-the-scope clipping system, which regarding design and function is similar to a bear-trap, the endoscopic closure of perforations has become possible. Here, we report our first experience with the over-the-scope clipping system for the closure of duodenal perforation developed during endoscopic retrograde cholangiopancreatography. A 79-year-old woman with jaundice resulting from obstruction of the common bile duct caused by choledocholithiasis underwent endoscopic retrograde cholangiopancreatography. At the time of the procedure, an endoscope-related perforation measuring about 15 mm was visualized proximal to the papilla. Endoscopic repair was performed by using the over-the-scope clipping according to a standardized operating procedure. Amsterdam type plastic stent was placed into the common bile duct. An abdominal computed tomography with gastrographin showed a pneumoretroperitoneum in the peripancreatic-perirenal area and complete closure of the perforation. The patient remained symptom free, no signs of sepsis developed, and the obstructive jaundice was relieved by endoscopic biliary drainage. The patient was allowed to have a full diet one week later and was discharged from the hospital 2 weeks later. It seems that, the over-the-scope clipping is effective for endoluminal closure of endoscope-related duodenal perforations.</t>
  </si>
  <si>
    <t>10.4318/tjg.2013.0594</t>
  </si>
  <si>
    <t>Dogan, UB; Keskin, MB; Soker, G; Akin, MS; Yalaki, S</t>
  </si>
  <si>
    <t>Dogan, Umit Bilge; Keskin, Mahmut Birol; Soker, Gokhan; Akin, Mustafa Salih; Yalaki, Serkan</t>
  </si>
  <si>
    <t>TURKISH JOURNAL OF GASTROENTEROLOGY</t>
  </si>
  <si>
    <t>Over-the-scope clipping; duodenal perforation; endoscope-related perforation</t>
  </si>
  <si>
    <t>SYSTEM; ESOPHAGEAL; EXPERIENCE; EFFICACY; DEVICE; REPAIR; TRACT</t>
  </si>
  <si>
    <t>[Dogan, Umit Bilge; Keskin, Mahmut Birol; Akin, Mustafa Salih; Yalaki, Serkan] Adana Numune Training &amp; Res Hosp, Dept Gastroenterol, Adana, Turkey; [Soker, Gokhan] Adana Numune Training &amp; Res Hosp, Dept Radiol, Adana, Turkey</t>
  </si>
  <si>
    <t>Adana Numune Training &amp; Research Hospital; Ankara Numune Training &amp; Research Hospital; Adana Numune Training &amp; Research Hospital; Ankara Numune Training &amp; Research Hospital; Cukurova University</t>
  </si>
  <si>
    <t>Dogan, UB (corresponding author), Adana Numune Training &amp; Res Hosp, Dept Gastroenterol, Yuregir Adana, Turkey.</t>
  </si>
  <si>
    <t>ubdogan@hotmail.com</t>
  </si>
  <si>
    <t>Dogan, Umit Bilge/D-6856-2013; Keskin, Mahmut/HTO-7751-2023; YALAKİ, SERKAN/P-1774-2016</t>
  </si>
  <si>
    <t>Dogan, Umit Bilge/0000-0001-7448-7841; YALAKİ, SERKAN/0000-0001-8137-0924</t>
  </si>
  <si>
    <t>1300-4948</t>
  </si>
  <si>
    <t>2148-5607</t>
  </si>
  <si>
    <t>TURK J GASTROENTEROL</t>
  </si>
  <si>
    <t>Turk. J. Gastroenterol.</t>
  </si>
  <si>
    <t>Gastroenterology &amp; Hepatology</t>
  </si>
  <si>
    <t>290NM</t>
  </si>
  <si>
    <t>WOS:000329765600010</t>
  </si>
  <si>
    <t>Effects of Bacterial Inoculants on Fermentation and Aerobic Stability of Baled Triticale-Hungarian Vetch Silage and Lamb Performance</t>
  </si>
  <si>
    <t>The effects of bacterial inoculants containing homofermentative lactic acid bacteria (HM LAB) alone or in combination with Lactobacillus buchneri on conservation characteristics of baled triticale-Hungarian vetch silage and performance of Konya merino female lambs were investigated. The herbage was mowed at milk stage of maturity of triticale. Field wilted herbage was treated with LAB additives at 1.0x10(6) cfu/g and baled. Bales were wrapped with six layers of plastic white stretch-film. At the end of 3 m ensiling, silages made with or without LAB preserved well. Inoculation with HM LAB had little effect on fermentation characteristics of silages. However, silage treated with the HM LAB in combination with Lactobacillus buchneri resulted in silage with a higher (P &lt; 0.05) concentration of acetic and propionic acid. These silages did not heat throughout 500 h of monitoring. There were no (P &gt; 0.05) treatment effects on any variables measured on the lamb performance. Overall effects of additives on rumen fluids were relatively small. It is concluded that the use of HM LAB in combination with Lactobacillus buchneri is preferable because the combination of these bacteria could improve aerobic stability of silages via accumulation of acetic and propionic acid without reduced concentration of lactic acid. It is also concluded that elevated acetic and propionic acid in well fermented silages do not depress the dry matter intake of ruminants.</t>
  </si>
  <si>
    <t>Demirci, U; Gulsen, N; Keles, G</t>
  </si>
  <si>
    <t>Demirci, Ugur; Gulsen, Nurettin; Keles, Gurhan</t>
  </si>
  <si>
    <t>Bacterial inoculants; Baled silage; Lactobacillus buchneri; Lamb; Triticale</t>
  </si>
  <si>
    <t>LACTIC-ACID; LACTOBACILLUS-BUCHNERI; NUTRITIVE-VALUE; VOLUNTARY INTAKE; LACTATING COWS; GRASS; CORN; LACTOBACILLUS-BUCHNERI-40788; PROPIONATE; ENSILAGE</t>
  </si>
  <si>
    <t>[Demirci, Ugur; Keles, Gurhan] Bahri Dagdas Int Agr Res Inst, Dept Feed &amp; Anim Feeding, TR-42020 Konya, Turkey; [Gulsen, Nurettin] Selcuk Univ, Fac Vet Med, Dept Anim Nutr &amp; Nutr Disorders, TR-42031 Konya, Turkey</t>
  </si>
  <si>
    <t>Ministry of Food, Agriculture &amp; Livestock - Turkey; Selcuk University</t>
  </si>
  <si>
    <t>Keles, G (corresponding author), Bahri Dagdas Int Agr Res Inst, Dept Feed &amp; Anim Feeding, TR-42020 Konya, Turkey.</t>
  </si>
  <si>
    <t>Keles, Gurhan/HKM-3821-2023; Gulsen, Nurettin/GLT-0251-2022</t>
  </si>
  <si>
    <t>Gulsen, Nurettin/0000-0002-8555-0743</t>
  </si>
  <si>
    <t>731OA</t>
  </si>
  <si>
    <t>WOS:000288117600022</t>
  </si>
  <si>
    <t>PERFORMANCE EVALUATION OF BURSA CITY (TURKEY) MEDICAL WASTE MANAGEMENT SYSTEM</t>
  </si>
  <si>
    <t>Medical wastes are to be collected in different ways than other wastes, and eliminated with specifically designed procedures. Based on this acknowledgement the medical wastes in our country have been managed according to the Regulation of Medical Wastes enacted and published in the Official Bulletin # 25883 on July 22, 2005. Previously buried via calcification at best, today medical wastes are to be properly managed and eliminated as required by this Regulation. After the Regulation's enactment, the City of Bursa also acted and initiated a management plan; consequently, a management system based on sterilization and elimination via the gathering of the wastes in plastic boxes with barcodes that allow online tracking has been established. Thanks to this system, it has become possible to accurately monitor medical waste. In addition, the system can weigh/calculate the quantity of these medical wastes, record and control them. The efficiency of the system will be measured based on the quantity of wastes picked up before and after the launch of this procedure, and the change over time in the volume and quantity of wastes regularly sent to landfill after sterilization. In this study, we analyze the time-change (the change over time) of gathered and stocked amounts of wastes in the City of Bursa depending on population and the number of hospitals. The study has calculated amounts of medical wastes per person which is 1,30 kg/person per year and amount of medical waste per bed which is 1,15 kg/bed per day, thus evaluated the above described management system for 2008.</t>
  </si>
  <si>
    <t>Varinca, KB; Esmen, C; Gonullu, MT</t>
  </si>
  <si>
    <t>Varinca, Kamil B.; Esmen, Cengiz; Gonullu, M. Talha</t>
  </si>
  <si>
    <t>Medical waste; sterilization; Bursa (Turkey)</t>
  </si>
  <si>
    <t>[Varinca, Kamil B.; Esmen, Cengiz; Gonullu, M. Talha] Cevre Muhendisligi Bolumu Esenler Istanbul, Yildiz Tekn Univ, Insaat Fak, Istanbul, Turkey</t>
  </si>
  <si>
    <t>Varinca, KB (corresponding author), Cevre Muhendisligi Bolumu Esenler Istanbul, Yildiz Tekn Univ, Insaat Fak, Istanbul, Turkey.</t>
  </si>
  <si>
    <t>kvarinca@yildiz.edu.tr</t>
  </si>
  <si>
    <t>Gonullu, Mustafa Talha/N-6260-2019; VARINCA, Kâmil/B-9657-2011</t>
  </si>
  <si>
    <t>Gonullu, Mustafa Talha/0000-0001-7951-8125; VARINCA, Kâmil/0000-0002-7932-2146</t>
  </si>
  <si>
    <t>WOS:000219500400021</t>
  </si>
  <si>
    <t>Removal of Organic Dyes from Industrial Effluents: An Overview of Physical and Biotechnological Applications</t>
  </si>
  <si>
    <t>The textile industry produces a large amount of dye effluents, which are highly toxic as they contain a large number of metal complex dyes. The use of synthetic chemical dyes in various industrial processes, including paper and pulp manufacturing, plastics, dyeing of cloth, leather treatment and printing has increased considerably over the last few years, resulting in the release of dye-containing industrial effluents into the soil and aquatic ecosystems. The textile industry generates highly polluted wastewater and its treatment is a very serious problem due to high total dissolved solids (TDS), the presence of toxic heavy metals and the non-biodegradable nature of the dyestuffs present in the effluents. There are many processes available for the removal of dyes by conventional treatment technologies including biological and chemical oxidation, coagulation and adsorption, but they cannot be effectively used individually. Many approaches, including physical, chemical and/or biological processes have been used in the treatment of industrial wastewater containing dye, but such methods are often very costly and not environmentally safe. Furthermore, the large amount of sludge generated and the low efficiency of treatment with respect to some dyes have limited their use.</t>
  </si>
  <si>
    <t>Ejder-Korucu, M; Gurses, A; Dogar, C; Sharma, SK; Acikyildiz, M</t>
  </si>
  <si>
    <t>Ejder-Korucu, Mehtap; Gurses, Ahmet; Dogar, Cetin; Sharma, Sanjay K.; Acikyildiz, Metin</t>
  </si>
  <si>
    <t>Natural dyes; acid dyes; disperse dyes; cationic dyes; adsorption; membrane filtration; ion exchange; irradiation; electrokinetic coagulation; aerobic and anaerobic degradation</t>
  </si>
  <si>
    <t>TEXTILE WASTE-WATER; REACTIVE BLACK 5; RESPONSE-SURFACE METHODOLOGY; ANAEROBIC-AEROBIC TREATMENT; AQUEOUS-SOLUTION; AZO-DYE; ACTIVATED CARBON; METHYLENE-BLUE; NATURAL DYE; ADSORPTION CHARACTERISTICS</t>
  </si>
  <si>
    <t>[Ejder-Korucu, Mehtap] Kafkas Univ, Fac Sci &amp; Arts, Dept Chem, Kars, Turkey; [Gurses, Ahmet] Ataturk Univ, KK Educ Fac, Dept Chem, Erzurum, Turkey; [Dogar, Cetin] Erzincan Univ, Fac Educ, Dept Sci Educ, Erzincan, Turkey; [Sharma, Sanjay K.] JECRC Univ, Dept Chem, Green Chem &amp; Sustainabil Res Grp, Jaipur, Rajasthan, India; [Acikyildiz, Metin] Kilis 7 Aralik Univ, Fac Sci &amp; Arts, Dept Chem, Kilis, Turkey</t>
  </si>
  <si>
    <t>Kafkas University; Ataturk University; Erzincan Binali Yildirim University; Kilis 7 Aralik University</t>
  </si>
  <si>
    <t>Gurses, A (corresponding author), Ataturk Univ, KK Educ Fac, Dept Chem, Erzurum, Turkey.</t>
  </si>
  <si>
    <t>ahmetgu@yahoo.com</t>
  </si>
  <si>
    <t>Doğar, Çetin/AAH-6863-2019</t>
  </si>
  <si>
    <t>WOS:000449998200002</t>
  </si>
  <si>
    <t>Biocompatible and Biodegradable Materials for Organic Field-Effect Transistors</t>
  </si>
  <si>
    <t>Biocompatible-ingestible electronic circuits and capsules for medical diagnosis and monitoring are currently based on traditional silicon technology. Organic electronics has huge potential for developing biodegradable, biocompatible, bioresorbable, or even metabolizable products. An ideal pathway for such electronic devices involves fabrication with materials from nature, or materials found in common commodity products. Transistors with an operational voltage as low as 4-5 V, a source drain current of up to 0.5 mu A and an on-off ratio of 3-5 orders of magnitude have been fabricated with such materials. This work comprises steps towards environmentally safe devices in low-cost, large volume, disposable or throwaway electronic applications, such as in food packaging, plastic bags, and disposable dishware. In addition, there is significant potential to use such electronic items in biomedical implants.</t>
  </si>
  <si>
    <t>10.1002/adfm.201001031</t>
  </si>
  <si>
    <t>Irimia-Vladu, M; Troshin, PA; Reisinger, M; Shmygleva, L; Kanbur, Y; Schwabegger, G; Bodea, M; Schwodiauer, R; Mumyatov, A; Fergus, JW; Razumov, VF; Sitter, H; Sariciftci, NS; Bauer, S</t>
  </si>
  <si>
    <t>Irimia-Vladu, Mihai; Troshin, Pavel A.; Reisinger, Melanie; Shmygleva, Lyuba; Kanbur, Yasin; Schwabegger, Guenther; Bodea, Marius; Schwoediauer, Reinhard; Mumyatov, Alexander; Fergus, Jeffrey W.; Razumov, Vladimir F.; Sitter, Helmut; Sariciftci, Niyazi Serdar; Bauer, Siegfried</t>
  </si>
  <si>
    <t>ADVANCED FUNCTIONAL MATERIALS</t>
  </si>
  <si>
    <t>THIN-FILM TRANSISTORS; MOBILITY; ACID; DNA</t>
  </si>
  <si>
    <t>[Irimia-Vladu, Mihai; Reisinger, Melanie; Schwoediauer, Reinhard; Bauer, Siegfried] Johannes Kepler Univ Linz, Dept Soft Matter Phys, A-4040 Linz, Austria; [Troshin, Pavel A.; Shmygleva, Lyuba; Mumyatov, Alexander; Razumov, Vladimir F.] Russian Acad Sci, Inst Problems Chem Phys, Chernogolovka 142432, Russia; [Kanbur, Yasin] Middle E Tech Univ, Dept Polymer Sci &amp; Technol, TR-06531 Ankara, Turkey; [Bodea, Marius] Johannes Kepler Univ Linz, Inst Appl Phys, A-4040 Linz, Austria; [Schwabegger, Guenther; Sitter, Helmut] Johannes Kepler Univ Linz, Inst Semicond &amp; Solid State Phys, A-4040 Linz, Austria; [Fergus, Jeffrey W.] Auburn Univ, Mat Res &amp; Educ Ctr, Auburn, AL 36849 USA; [Irimia-Vladu, Mihai; Sariciftci, Niyazi Serdar] Johannes Kepler Univ Linz, Linz Inst Organ Solar Cells LIOS, A-4040 Linz, Austria</t>
  </si>
  <si>
    <t>Johannes Kepler University Linz; Russian Academy of Sciences; Institute of Problems of Chemical Physics of the Russian Academy of Sciences; Middle East Technical University; Johannes Kepler University Linz; Johannes Kepler University Linz; Auburn University System; Auburn University; Johannes Kepler University Linz</t>
  </si>
  <si>
    <t>Irimia-Vladu, M (corresponding author), Johannes Kepler Univ Linz, Dept Soft Matter Phys, Altenberger Str Nr 69, A-4040 Linz, Austria.</t>
  </si>
  <si>
    <t>Mihai.Irimia-Vladu@jku.at</t>
  </si>
  <si>
    <t>Alexander, Mumyatov/A-5087-2014; Sariciftci, Niyazi Serdar/N-3952-2017; Bauer, Siegfried/A-2354-2009; Shmygleva, Lyubov V./A-6046-2014; Kanbur, Yasin/A-1224-2017; Razumov, Vladimir/D-6788-2018; Kanbur, Yasin/AAU-4150-2020; Troshin, Pavel A/A-5128-2014; Sariciftci, Niyazi Serdar/S-4647-2019</t>
  </si>
  <si>
    <t>Alexander, Mumyatov/0000-0002-4554-8630; Sariciftci, Niyazi Serdar/0000-0003-4727-1193; Bauer, Siegfried/0000-0002-7770-9435; Shmygleva, Lyubov V./0000-0001-5659-0634; Kanbur, Yasin/0000-0003-3996-458X; Troshin, Pavel A/0000-0001-9957-4140; Sariciftci, Niyazi Serdar/0000-0003-4727-1193; Fergus, Jeffrey/0000-0002-8067-1992; Baumgartner, Melanie/0000-0001-6023-9687</t>
  </si>
  <si>
    <t>Austrian Science Foundation FWF within the National Research Network on Organic Devices [P20772-N20, S09712-N08, S09706-N08, S9711-N08]; Russian Foundation for Basic Research [07-04-01742-a]; Russian Ministry of Science and Education [02-513-11-3382]</t>
  </si>
  <si>
    <t>Austrian Science Foundation FWF within the National Research Network on Organic Devices(Austrian Science Fund (FWF)); Russian Foundation for Basic Research(Russian Foundation for Basic Research (RFBR)Spanish Government); Russian Ministry of Science and Education(Ministry of Education and Science, Russian Federation)</t>
  </si>
  <si>
    <t>The authors thank Aydin Enver, Alberto Montaigne Ramil, Clemens Schwarzinger, Helmut Neugenbauer and Matthew White for fruitful discussions and suggestions. Thanks are addressed to Stefanie Schlager, Derya Baran, Christoph Keplinger and Martin Kaltenbrunner for the transistor photos. Aknowledgement is conveyed to Joerg Auffermann (BASF), for his kind supply of Ecoflex, to Bin Tan (Shanghai Jucheng) for his kind supply of vat dyes as well as to Wally Ridgeway (Auburn University, USA) for the development of Figure 1 in the text. The work was financially funded by the Austrian Science Foundation FWF within the National Research Network NFN on Organic Devices (P20772-N20, S09712-N08, S09706-N08 and S9711-N08) as well as by the Russian Foundation for Basic Research (07-04-01742-a) and by the Russian Ministry of Science and Education (02-513-11-3382).</t>
  </si>
  <si>
    <t>POSTFACH 101161, 69451 WEINHEIM, GERMANY</t>
  </si>
  <si>
    <t>1616-301X</t>
  </si>
  <si>
    <t>1616-3028</t>
  </si>
  <si>
    <t>ADV FUNCT MATER</t>
  </si>
  <si>
    <t>Adv. Funct. Mater.</t>
  </si>
  <si>
    <t>DEC 8</t>
  </si>
  <si>
    <t>Chemistry, Multidisciplinary; Chemistry, Physical; Nanoscience &amp; Nanotechnology; Materials Science, Multidisciplinary; Physics, Applied; Physics, Condensed Matter</t>
  </si>
  <si>
    <t>Chemistry; Science &amp; Technology - Other Topics; Materials Science; Physics</t>
  </si>
  <si>
    <t>695SM</t>
  </si>
  <si>
    <t>WOS:000285392900005</t>
  </si>
  <si>
    <t>WASTEWATER TREATMENT IN A PILOT-SCALE CONSTRUCTED WETLAND</t>
  </si>
  <si>
    <t>A pilot-scale constructed wetland (CW) has been set up in Atakoy Biological Treatment Plant (ABTP), Turkey. Graded-sand and plastic ping-pong balls existed as a soil simulation in the first reactor, treatment was based on floating duckweed (Lemna minor) in the second reactor. Effluent of Biological wastewater treatment plant was continuously pumped into the pilot-scale CW by different flow rates and retention times. The average removal rates in the first reactor were 78 % chemical oxygen demand (COD), 85 % suspended solids (SS), 38 % ammonium nitrogen (NH3-N), 42% total kjeldahl nitrogen (TKN), and 25 % total phosphorus (TP) considering the hydraulic retention time (HRT) of 6.7 days and the flow rate of 5.04 1/day, also 69 % COD, 70 % SS, 21 % NH3-N, 32 % TKN and 29 % TP considering HRT of 3.35 days and flow rate of 10.08 1/day. The average removal rates in the second reactor were 29 % COD, 42 % SS, 82 % NH3-N, 80 % TKN, and 10 % IT considering the HRT of 11.4 days and the flow rate of 5.04 1/day, also 45 % COD, 52 % SS, 68 % NH3-N, 56 % TKN and 13 % TP considering HRT of 5.7 days and flow rate of 10.08 1/day. Results of this research show that the proposed system is successful in terms of removal rates of pollutant parameters when they are compared to those cited in literature. Low operational costs make it a proper alternative especially for the developing countries.</t>
  </si>
  <si>
    <t>Akkoyunlu, A; Bayhan, H; Akiner, ME; Erturk, F</t>
  </si>
  <si>
    <t>Akkoyunlu, Atilla; Bayhan, Hurrem; Akiner, Muhammed Ernur; Erturk, Ferruh</t>
  </si>
  <si>
    <t>Constructed wetland; duckweed; graded-sand; nutrient; organic matter; ping-pong balls; wastewater treatment</t>
  </si>
  <si>
    <t>LEMNA-MINOR L.; DUCKWEED SPECIES-DIVERSITY; BIOMASS PRODUCTION; REMOVAL; EFFICIENCY; PHYTOREMEDIATION</t>
  </si>
  <si>
    <t>[Akkoyunlu, Atilla] Bogazici Univ, Dept Civil Engn, TR-34342 Istanbul, Turkey; [Bayhan, Hurrem; Erturk, Ferruh] Yildiz Tech Univ, Dept Environm Engn, Istanbul, Turkey; [Akiner, Muhammed Ernur] Akdeniz Univ, Vocat Sch Tech Sci, TR-07058 Antalya, Turkey</t>
  </si>
  <si>
    <t>Bogazici University; Yildiz Technical University; Akdeniz University</t>
  </si>
  <si>
    <t>Akkoyunlu, A (corresponding author), Bogazici Univ, Dept Civil Engn, TR-34342 Istanbul, Turkey.</t>
  </si>
  <si>
    <t>akkoyun@boun.edu.tr</t>
  </si>
  <si>
    <t>AKINER, MUHAMMED ERNUR/C-1901-2016</t>
  </si>
  <si>
    <t>AKINER, MUHAMMED ERNUR/0000-0002-5192-2473</t>
  </si>
  <si>
    <t>Bogazici University Research Fund; Istanbul Wastewater and Sewage Authority</t>
  </si>
  <si>
    <t>Bogazici University Research Fund(Bogazici University); Istanbul Wastewater and Sewage Authority(Belediyeler)</t>
  </si>
  <si>
    <t>We would like to express our appreciation of the financial support of Bogazici University Research Fund and Istanbul Wastewater and Sewage Authority.</t>
  </si>
  <si>
    <t>12B</t>
  </si>
  <si>
    <t>DA8FQ</t>
  </si>
  <si>
    <t>WOS:000368040900006</t>
  </si>
  <si>
    <t>Effects of Different Additives on the Quality of Grass Silage and Rumen Degradability and Rumen Parameters of the Grass Silage in Rams</t>
  </si>
  <si>
    <t>This study was carried out to determine the effects of ensiling grass with different silages additives on dry matter (I W), nutrient content, pH and rumen degradability and the effects of grass silage on the digestibility and rumen parameters in the rams. Fifteen silages were ensiled as grass (with no additives), grass + 2.5% barley mixture, grass + 50% barley mixture, grass + 2.5% barley + 1% molasses + 0.5% salt mixture and grass + 5% barley + 2% molasses + 1% salt mixture with three replicates. Additionally grass with no additives was ensiled in the plastic barrels to determine the effects of this silage on the digestibility, rumen pH, ammonia nitrogen and volatile fatly acids by using three rams. The highest crude protein (CP) contents were determined in the barley, molasses and salt mixture of grass silages (10.41, 10.86%) and the highest nitrogen free extract (NFE) contents were determined in the barley mixture grass silages (44.41, 47.17%). The pH value of silages was decreased according to the amount and type of silage additives. DM and nutrient degradabilities of grass silages with or without additives left rumen incubation at different hours were found statistically different with aspect to hours and types of silage. (P&lt;0.05). CP and DM digestibilities of grass silage in the rams were determined as 64.49 and 53.21%. Total volatile fatty acids were determined as 69.73 mmol/L. Grass silage, mixtured with barley, molasses and salt were determined the best silage with respect to the nutrient content and pH.</t>
  </si>
  <si>
    <t>Kaya, I; Unal, Y; Elmali, DA</t>
  </si>
  <si>
    <t>Kaya, Ismail; Unal, Yucel; Elmali, Dilek Aksu</t>
  </si>
  <si>
    <t>Grass Silage; Nutrient Contents; Degradability; Rumen Parametrs</t>
  </si>
  <si>
    <t>FORMIC-ACID; FERMENTATION; DIGESTIBILITY; PROTEIN</t>
  </si>
  <si>
    <t>[Kaya, Ismail; Unal, Yucel; Elmali, Dilek Aksu] Kafkas Univ, Fac Vet Med, Dept Anim Nutr &amp; Nutr Dis, Kars, Turkey</t>
  </si>
  <si>
    <t>Kaya, I (corresponding author), Kafkas Univ, Fac Vet Med, Dept Anim Nutr &amp; Nutr Dis, Kars, Turkey.</t>
  </si>
  <si>
    <t>ismayilkaya@hotmail.com</t>
  </si>
  <si>
    <t>412BL</t>
  </si>
  <si>
    <t>WOS:000263698100004</t>
  </si>
  <si>
    <t>Preparation of UV-curable hybrid films via sol-gel synthesis for hydrophobic surface applications</t>
  </si>
  <si>
    <t>This study defines the preparation and characterization of organic-inorganic hybrid films that contain fluorine. Diurethane dimethacrylate (DUDMA) was used as the organic portion, and 1H, 1H, 2H, 2H-perfluorooctyltriethoxysilane (FTS) and 3-(trimethoxysilyl) propyl methacrylate (MEMO) were used as the inorganically rich portion. MEMO, found in the organic portion, is bonded to FTS by means of Si-O-Si bonds in the hybrid formulation and, on the other hand, is added to the polymerization together with DUDMA during the ultraviolet (UV)-curing process. Primarily hydrolysis and condensation reactions were formed between the sol-gel primers FTS and MEMO, and film solutions were then acquired by adding the organic portion to this mixture. The UV curing was done by applying these solutions to the polycarbonate (PC) surfaces. The degree of polymerization of the obtained films was monitored with the Fourier-transform infrared spectroscopy analysis. The thermogravimetric analysis as the thermal test was conducted over the free films. Mechanical tests such as cross-cut, pencil, and Newton hardness; scanning electron microscopy examinations; and optical characterizations and contact angle measurements were conducted over the film on the PC surface. With the hybrid films created on the PC surfaces, mechanical, highly durable, hydrophobic, and easy to clean films were acquired only with UV curing without requiring any thermal curing, and these films do not change the optical and visual properties of the PC surface in a significant scale. The conclusion was reached maximum at 112 degrees water contact angle (WCA) and 4N hardness value, and had almost the same visual properties as the uncoated PC surface. [GRAPHICS] .</t>
  </si>
  <si>
    <t>10.1007/s10971-019-05027-x</t>
  </si>
  <si>
    <t>Kesmez, O</t>
  </si>
  <si>
    <t>Kesmez, Omer</t>
  </si>
  <si>
    <t>JOURNAL OF SOL-GEL SCIENCE AND TECHNOLOGY</t>
  </si>
  <si>
    <t>Sol-gel; UV curing; Hybrid coatings; Plastic substrate; Hydrophobic</t>
  </si>
  <si>
    <t>HARD COATINGS; DEGRADATION</t>
  </si>
  <si>
    <t>[Kesmez, Omer] Akdeniz Univ, Fac Sci, Dept Chem, TR-07058 Antalya, Turkey</t>
  </si>
  <si>
    <t>Kesmez, O (corresponding author), Akdeniz Univ, Fac Sci, Dept Chem, TR-07058 Antalya, Turkey.</t>
  </si>
  <si>
    <t>omerkesmez@gmail.com</t>
  </si>
  <si>
    <t>kesmez, ömer/I-7153-2017</t>
  </si>
  <si>
    <t>kesmez, ömer/0000-0003-0107-8558</t>
  </si>
  <si>
    <t>Akdeniz University Research Found</t>
  </si>
  <si>
    <t>Akdeniz University Research Found(Akdeniz University)</t>
  </si>
  <si>
    <t>I gratefully acknowledge the financial support of the Akdeniz University Research Found.</t>
  </si>
  <si>
    <t>0928-0707</t>
  </si>
  <si>
    <t>1573-4846</t>
  </si>
  <si>
    <t>J SOL-GEL SCI TECHN</t>
  </si>
  <si>
    <t>J. Sol-Gel Sci. Technol.</t>
  </si>
  <si>
    <t>Materials Science, Ceramics</t>
  </si>
  <si>
    <t>IC0XB</t>
  </si>
  <si>
    <t>WOS:000470682300001</t>
  </si>
  <si>
    <t>Voluntary simplicity: a content analysis of consumer comments</t>
  </si>
  <si>
    <t>Purpose - The voluntary simplification (VS) movement has stemmed from Western societies and gained momentum in the 1980s, but the trend has failed to become a primary perspective for most consumers. The accompanying concepts of conscious consumption, minimalism and accepting that sometimes less is more are still vivid in the digital era. The purpose of this study is to provide a deep and recent understanding of the consumer comments about minimalism in Turkey and examine their associations with the prominent themes in the VS literature. Design/methodology/approach - Consumer comments posted on online platforms were analyzed by content analysis and word frequency analysis. Findings - Consumer comments were in parallel to the themes in the VS literature and were classified under personal growth, material simplicity, sustainability, proper technology usage and self-sufficiency categories. Personal growth, material simplicity and sustainability were the first three dimensions mentioned. The prominent sub-themes that emerge from data were psychological well-being, inner peace, freedom, meaningful experiences and getting rid of belongings. A word frequency analysis pointed out that life and owning were the evident words in the personal growth category, purchasing things were mostly mentioned in the material simplicity category and  plastic litter and excessive consumption were the prominent concerns in the sustainability category. Originality/value - VS required further research in different national contexts. Besides, an analysis of the dimensions of VS was needed. This study contributes by providing recent and rich findings from a developing country, connecting them with the VS themes in the literature and suggesting a conceptual framework enriched by sub-themes that emerged from data.</t>
  </si>
  <si>
    <t>10.1108/JCM-04-2020-3749</t>
  </si>
  <si>
    <t>Tosun, P; Sezgin, S</t>
  </si>
  <si>
    <t>Tosun, Petek; Sezgin, Selime</t>
  </si>
  <si>
    <t>JOURNAL OF CONSUMER MARKETING</t>
  </si>
  <si>
    <t>Marketing; Consumer behavior; Content analysis; Turkey; Simplicity; Voluntary simplification</t>
  </si>
  <si>
    <t>CONSUMPTION; SUSTAINABILITY; EXPLORATION; AGREEMENT</t>
  </si>
  <si>
    <t>[Tosun, Petek] MEF Univ, Dept Business Adm, Istanbul, Turkey; [Sezgin, Selime] Istanbul Bilgi Univ, Dept Business Adm, Istanbul, Turkey</t>
  </si>
  <si>
    <t>MEF Universitesi; Istanbul Bilgi University</t>
  </si>
  <si>
    <t>Tosun, P (corresponding author), MEF Univ, Dept Business Adm, Istanbul, Turkey.</t>
  </si>
  <si>
    <t>tosunp@mef.edu.tr</t>
  </si>
  <si>
    <t>Tosun, Petek/AAM-9761-2021</t>
  </si>
  <si>
    <t>Tosun, Petek/0000-0002-9228-8907</t>
  </si>
  <si>
    <t>EMERALD GROUP PUBLISHING LTD</t>
  </si>
  <si>
    <t>BINGLEY</t>
  </si>
  <si>
    <t>HOWARD HOUSE, WAGON LANE, BINGLEY BD16 1WA, W YORKSHIRE, ENGLAND</t>
  </si>
  <si>
    <t>0736-3761</t>
  </si>
  <si>
    <t>2052-1200</t>
  </si>
  <si>
    <t>J CONSUM MARK</t>
  </si>
  <si>
    <t>J. Consum. Mark.</t>
  </si>
  <si>
    <t>Business</t>
  </si>
  <si>
    <t>Business &amp; Economics</t>
  </si>
  <si>
    <t>ZB5WX</t>
  </si>
  <si>
    <t>WOS:000661430600001</t>
  </si>
  <si>
    <t>Assessment of perfluoroalkyl substances levels in tap and bottled water samples from Turkey</t>
  </si>
  <si>
    <t>Perfluoroalkyl and polyfluoroalkyl substances (PFASs) draw considerable attention for their potential toxic effects in humans and environment. Drinking water is accepted as one of the major exposure pathways for PFASs. In this study, we measured concentrations of 10 perfluoroalkyl substances in 94 tap water samples collected in two different sampling periods (August 2017 and February 2018) from 33 provinces of Turkey, as well as in 26 different brands of plastic and glass-bottled water samples sold in supermarkets in Turkey. Perfluorohexanoic acid (PFHxA), perfluorobutane sulfonate (PFBS) and perfluoropentanoic acid (PFPeA) were the most frequently detected PFASs in the samples of tap waters. The maximum concentrations in tap waters were measured as 2.90, 2.37, 2.18, 2.04, and 1.93 ng/L, for PFHxA, perfluorooctanoic acid (PFOA), perfluorohexane sulfonate (PFHxS), perfluorooctane sulfonate (PFOS), and perfluorobutanoic acid (PFBA), respectively. The most abundant perfluorinated chemical in tap water samples was PFBA with 17%, followed by PFOS (13%), PFBS (12%), perfluoroheptanoic acid (PFHpA) (11%), PFHxA (11%), and PFOA (11%). The total PFASs concentration in tap water ranged from 0.08 to 11.27 ng/L. As regards bottled waters, the concentrations of PFASs were generally lower than those in tap water samples. These results revealed that tap water samples in Turkey might be considered generally safe based on the established guidelines around the world. However, due to their persistence and potential to accumulate and reach higher concentrations in the environment, careful monitoring of PFASs in all types of water is critical. (C) 2019 Elsevier Ltd. All rights reserved.</t>
  </si>
  <si>
    <t>10.1016/j.chemosphere.2019.06.228</t>
  </si>
  <si>
    <t>Endirlik, BU; Bakir, E; Bosgelmez, II; Eken, A; Narin, I; Gurbay, A</t>
  </si>
  <si>
    <t>Endirlik, Burcu Unlu; Bakir, Elcin; Bosgelmez, Iffet Ipek; Eken, Ayse; Narin, Ibrahim; Gurbay, Aylin</t>
  </si>
  <si>
    <t>Perfluoroalkyl substances; Tap water; Bottled water; Turkey</t>
  </si>
  <si>
    <t>PERFLUORINATED ALKYL ACIDS; DRINKING-WATER; POLYFLUOROALKYL SUBSTANCES; SEASONAL-VARIATIONS; MINERAL-WATER; PFASS; SURFACE; PLANT; RIVER; PFOA</t>
  </si>
  <si>
    <t>[Endirlik, Burcu Unlu; Bakir, Elcin; Bosgelmez, Iffet Ipek; Eken, Ayse] Erciyes Univ, Fac Pharm, Dept Pharmaceut Toxicol, TR-38280 Kayseri, Turkey; [Bosgelmez, Iffet Ipek] Erciyes Univ, Ziya Eren Drug Applicat &amp; Res Ctr, TR-38280 Kayseri, Turkey; [Narin, Ibrahim] Erciyes Univ, Fac Pharm, Dept Analyt Chem, TR-38280 Kayseri, Turkey; [Gurbay, Aylin] Hacettepe Univ, Fac Pharm, Dept Pharmaceut Toxicol, TR-06100 Ankara, Turkey</t>
  </si>
  <si>
    <t>Erciyes University; Erciyes University; Erciyes University; Hacettepe University</t>
  </si>
  <si>
    <t>Endirlik, BU (corresponding author), Erciyes Univ, Fac Pharm, Dept Pharmaceut Toxicol, TR-38280 Kayseri, Turkey.</t>
  </si>
  <si>
    <t>burcuunlu@erciyes.edu.tr</t>
  </si>
  <si>
    <t>Bakır, Elçin/AAO-3127-2021; narin, ibrahim/AAH-8690-2019; BOŞGELMEZ, İ.İpek/AAX-9304-2021; ÜNLÜ ENDİRLİK, Burcu/ABI-3805-2020; gurbay, Aylin/AAF-7665-2020; Bosgelmez, I.Ipek/I-9727-2019; Eken, Ayse/C-4761-2013</t>
  </si>
  <si>
    <t>narin, ibrahim/0000-0002-2275-778X; ÜNLÜ ENDİRLİK, Burcu/0000-0001-5960-1036; gurbay, Aylin/0000-0002-8571-1092; Bosgelmez, I.Ipek/0000-0003-2528-1227; Eken, Ayse/0000-0003-4830-5770</t>
  </si>
  <si>
    <t>Research Fund of the Erciyes University [TSA-2017-7144]</t>
  </si>
  <si>
    <t>Research Fund of the Erciyes University(Erciyes University)</t>
  </si>
  <si>
    <t>This study was supported by the Research Fund of the Erciyes University (Project No. TSA-2017-7144).</t>
  </si>
  <si>
    <t>JA1HB</t>
  </si>
  <si>
    <t>WOS:000487567000126</t>
  </si>
  <si>
    <t>Effects of genotype and housing system on some bone biomechanical characteristics in broiler chickens</t>
  </si>
  <si>
    <t>The aim of this study was to determine the effects of two genotypes (slow-growing and fast-growing) and three housing systems (deep litter, plastic slat and free-range) on some bone biomechanical properties of broiler chickens and to evaluate the interaction between genotype and housing systems. Broilers from two genotypes were reared at three different housing conditions. Fifteen bones were randomly selected from each housing system in both slow-growing and fast-growing groups, and the experiment was performed on 90 bones in total. To determine bone characteristic and biomechanical traits of tibiotarsi, bones collected from right leg and then weighed, cortical area measurements and three-point bending tests were applied. Both live body weight and carcass weight were significantly affected by genotype and housing systems. There was no interaction between genotype and housing system in terms of bone weight, cortical area, breaking strength, bending strength, and deflection. Also, housing systems had no statistical effect on these parameters. Fast-growing broilers were significantly had heavier tibiotarsi, larger cortical area and higher breaking strength than slow-growing broilers, while bending strength was significantly lower in fast-growing broilers. Deflection was not affected by genotype or by housing system. In conclusion, bone geometry and biomechanical properties were not affected by housing systems but by genotype. Fast-growing broilers had better bone morphology and stronger bones than slow-growing genotype. Therefore, fast-growing genotype can provide positive effects on bone growth and mechanical properties in broilers.</t>
  </si>
  <si>
    <t>10.33988/auvfd.441862</t>
  </si>
  <si>
    <t>Suzer, B; Tufekci, K; Arican, I; Petek, M; Abdourhamane, IM; Ozbek, M; Yildiz, H</t>
  </si>
  <si>
    <t>Suzer, Bayram; Tufekci, Kenan; Arican, Ilker; Petek, Metin; Abdourhamane, Ibrahima Mahamane; Ozbek, Melahat; Yildiz, Huseyin</t>
  </si>
  <si>
    <t>ANKARA UNIVERSITESI VETERINER FAKULTESI DERGISI</t>
  </si>
  <si>
    <t>Biomechanics; broiler; genotype; housing; tibiotarsus</t>
  </si>
  <si>
    <t>FAST-GROWING BROILERS; LAYING HENS KEPT; GROWTH-PERFORMANCE; MEAT QUALITY; FREE-RANGE; CARCASS YIELD; LEG ABNORMALITIES; STOCKING DENSITY; OUTDOOR ACCESS; WELFARE</t>
  </si>
  <si>
    <t>[Suzer, Bayram; Arican, Ilker; Yildiz, Huseyin] Bursa Uludag Univ, Fac Vet Med, Dept Anat, Bursa, Turkey; [Tufekci, Kenan] Bursa Uludag Univ, Dept Mech Engn &amp; Architecture, Fac Engn, Bursa, Turkey; [Petek, Metin; Abdourhamane, Ibrahima Mahamane; Ozbek, Melahat] Bursa Uludag Univ, Dept Zootech, Fac Vet Med, Bursa, Turkey</t>
  </si>
  <si>
    <t>Uludag University; Uludag University; Uludag University</t>
  </si>
  <si>
    <t>Yildiz, H (corresponding author), Bursa Uludag Univ, Fac Vet Med, Dept Anat, Bursa, Turkey.</t>
  </si>
  <si>
    <t>yildiz@uludag.edu.tr</t>
  </si>
  <si>
    <t>Suzer, Bayram/X-2000-2019; ARICAN, ilker/AAG-7518-2021; YILDIZ, Hüseyin/AAA-1366-2021; Tüfekci, Kenan/AAG-7076-2021</t>
  </si>
  <si>
    <t>Abdourhamane, Ibrahima Mahamane/0000-0001-8789-3101; Tufekci, Kenan/0000-0001-5358-1396; Suzer, Bayram/0000-0002-2687-1221; ARICAN, ILKER/0000-0001-6342-0094</t>
  </si>
  <si>
    <t>ANKARA UNIV PRESS</t>
  </si>
  <si>
    <t>INCITAS SOKAK NO. 10, BESEVLER, ANKARA, 06510, TURKEY</t>
  </si>
  <si>
    <t>1300-0861</t>
  </si>
  <si>
    <t>1308-2817</t>
  </si>
  <si>
    <t>ANKARA UNIV VET FAK</t>
  </si>
  <si>
    <t>Ank. Univ. Vet. Fak. Derg.</t>
  </si>
  <si>
    <t>IE8MN</t>
  </si>
  <si>
    <t>WOS:000472627700003</t>
  </si>
  <si>
    <t>Evaluation of antimicrobial activities of minocycline and rifampin-impregnated silicone surfaces in an in vitro urinary system model</t>
  </si>
  <si>
    <t>Objective: To evaluate the antimicrobial activity in urinary catheters and silicones in antibiotic-coated prosthetic urinary systems in order to reduce morbidity and mortality caused by catheter-associated infection. Methods: The study was initiated in 1993 at Houston, USA and continued in Turkey till 1996. A sterile plastic bag was used-as kidney in the in vitro urinary system. Physiological renal jet streams (50cc/h) were generated with an intravenous metric pump. The temperature was kept at body temperature. The bladder drainage was achieved at the physiological drainage period of 4-6 hours during the 72-hour experiment. Silicone surfaces coated with pure silicone and impregnated with Minocycline-Rifampin were exposed to the urine contaminated with the targeted bacteria in the in vitro urinary model for 72 hours. Antimicrobial activities occurring in the Eosin methylene blue and blood agar media in the infected silicones were assessed. Results: Minocycline-Rifampin silicone surfaces exposed to the urine contaminated with Escherichia coli and Pseudomonas aeruginosa reported reproduction. No reproduction was observed in the culture of Minocycline-Rifampin-impregnated silicone surfaces for Proteus mirabilis. The difference with the control group was regarded as statistically significant for Proteus mirabilis (p&lt;0.005). Minocycline-Rifampin-coated silicones were closely monitored only for Proteus mirabilis in the in vitro urinary medium. Although inhibition zones (&lt;10mm) in the cultures were observed for Minocycline-Rifampin-coated silicones for Escherichia coli and Pseudonnonas aeruginosa, but the microbial efficacy was not regarded sufficient. Conclusion: There is still need for evidence-based in vivo and in vitro studies where antimicrobial activity is evaluated on the surface of catheters.</t>
  </si>
  <si>
    <t>Salvarci, A; Koroglu, M; Gurpinar, T</t>
  </si>
  <si>
    <t>Salvarci, Ahmet; Koroglu, Mehmet; Gurpinar, Tayfun</t>
  </si>
  <si>
    <t>JOURNAL OF THE PAKISTAN MEDICAL ASSOCIATION</t>
  </si>
  <si>
    <t>Minocycline-rifampin; Silicone material; Urinary catheters; Urinary infection</t>
  </si>
  <si>
    <t>URETHRAL CATHETERS; TRACT-INFECTIONS; RISK</t>
  </si>
  <si>
    <t>[Salvarci, Ahmet] Konya Hosp, Dept Urol, Konya, Turkey; [Koroglu, Mehmet] Sakarya Univ, Sch Med, Sakarya, Turkey; [Gurpinar, Tayfun] Bayindir Hosp, Dept Urol, Istanbul, Turkey</t>
  </si>
  <si>
    <t>Konya Numune Hospital; Sakarya University; Bayindir Health Group</t>
  </si>
  <si>
    <t>Salvarci, A (corresponding author), Konya Hosp, Dept Urol, Konya, Turkey.</t>
  </si>
  <si>
    <t>drsalvarci@hotmail.com</t>
  </si>
  <si>
    <t>Salvarcı, Ahmet/T-8137-2019</t>
  </si>
  <si>
    <t>Salvarcı, Ahmet/0000-0002-5231-2415</t>
  </si>
  <si>
    <t>PAKISTAN MEDICAL ASSOC</t>
  </si>
  <si>
    <t>PMA HOUSE, AGA KHAN III RD, KARACHI, 00000, PAKISTAN</t>
  </si>
  <si>
    <t>0030-9982</t>
  </si>
  <si>
    <t>J PAK MED ASSOC</t>
  </si>
  <si>
    <t>J. Pak. Med. Assoc.</t>
  </si>
  <si>
    <t>Medicine, General &amp; Internal; Medicine, Research &amp; Experimental</t>
  </si>
  <si>
    <t>General &amp; Internal Medicine; Research &amp; Experimental Medicine</t>
  </si>
  <si>
    <t>CA8UF</t>
  </si>
  <si>
    <t>WOS:000349195700002</t>
  </si>
  <si>
    <t>Three-dimensional objective evaluation of facial palsy and follow-up of recovery with a handheld scanner</t>
  </si>
  <si>
    <t>Background: Clinicians need accurate, reproducible, fast, and cost-effective grading systems to determine facial functions. There is currently no internationally accepted objective method to report the loss of function at the onset of facial paralysis and subsequent recovery. Our study aimed to test a three-dimensional handheld light scanner's efficacy for grading facial paralysis and monitoring recovery. Methods: Sixty-one healthy volunteers (28 men and 33 women) aged between 20 and 75 years (mean 36.4 +/- 11.9 years old) and 22 patients with facial palsy (10 male and 12 female patients) aged between 12 and 77 years (mean 47.6 +/- 19.7 years old) were included in the study. The healthy individuals' and patients' facial scans were performed with a three-dimensional handheld scanner during different facial expressions at 3-month intervals. The asymmetry and intensity degree of each facial expression were determined in terms of the root mean square. Results: After facial paralysis, a significant larger asymmetry value (1.2 +/- 0.4 mm vs. 2.0 +/- 0.8 mm and p &lt; 0.05) was determined as compared to the control group, while a significant smaller intensity value (2.3 +/- 1.2 mm vs. 1.7 +/- 0.9 mm and p &lt; 0.05) was observed. At the end of 3 months, both parameters showed a tendency to recover. Conclusion: Our findings suggest that three-dimensional morphological analyses may be an effective method to grade facial palsy. However, our data need to be confirmed by larger cohort size and more extended follow-up periods. (C) 2021 British Association of Plastic, Reconstructive and Aesthetic Surgeons. Published by Elsevier Ltd. All rights reserved.</t>
  </si>
  <si>
    <t>10.1016/j.bjps.2021.05.003</t>
  </si>
  <si>
    <t>Ozsoy, U; Uysal, H; Hizay, A; Sekerci, R; Yildirim, Y</t>
  </si>
  <si>
    <t>Ozsoy, Umut; Uysal, Hilmi; Hizay, Arzu; Sekerci, Rahime; Yildirim, Yilmaz</t>
  </si>
  <si>
    <t>Peripheral facial palsy; Central facial palsy; 3D handheld scanner; Asymmetry; Intensity; Facial expression</t>
  </si>
  <si>
    <t>MOTION ANALYSIS; QUANTITATIVE ASSESSMENT; REPRODUCIBILITY; 3D; REANIMATION; MIMICRY</t>
  </si>
  <si>
    <t>[Ozsoy, Umut; Hizay, Arzu; Sekerci, Rahime; Yildirim, Yilmaz] Akdeniz Univ, Fac Med, Dept Anat, Dumlupinar Bulvari, TR-07058 Antalya, Turkey; [Uysal, Hilmi] Akdeniz Univ, Fac Med, Dept Neurol, Antalya, Turkey</t>
  </si>
  <si>
    <t>Ozsoy, U (corresponding author), Akdeniz Univ, Fac Med, Dept Anat, Dumlupinar Bulvari, TR-07058 Antalya, Turkey.</t>
  </si>
  <si>
    <t>ozsoyu@akdeniz.edu.tr</t>
  </si>
  <si>
    <t>YILDIRIM, Yılmaz/AAK-2099-2020; sekerci, rahime/I-7620-2017; Hizay, Arzu/I-7149-2017; ozsoy, umut/E-9917-2011</t>
  </si>
  <si>
    <t>Hizay, Arzu/0000-0001-5886-0714; ozsoy, umut/0000-0003-3708-7077; YILDIRIM, YILMAZ/0000-0002-0840-0805</t>
  </si>
  <si>
    <t>XG9IZ</t>
  </si>
  <si>
    <t>WOS:000725060900019</t>
  </si>
  <si>
    <t>An efficient GC-IDMS method for determination of PBDEs and PBB in plastic materials</t>
  </si>
  <si>
    <t>In this study, a fast, inexpensive, simple and reliable analytical method, involving pressurized solvent extraction (PSE) system and gas chromatography, coupled to an ion trap tandem mass spectrometry (GC-ITMS-MS), has been developed. It was validated for determination of 2,2',4,4'-tetrabromodiphenyl (BDE-47), 2,2',3,4,4',5',6-heptabromodiphenyl (BDE-183), 2,2',3,3',4,4',5,5',6-nonabromodiphenyl (BDE-206) and decabromodiphenyl (BDE-209) ethers and decabromobiphenyl (BB-209) in polypropylene (PP), polyethylene (PE) and acrylonitrile butadiene styrene (ABS) polymeric matrix. Certified reference materials (CRM) were used to assess the trueness of the method. Quantification of the analytes was performed by a primary method, i.e. isotope dilution mass spectrometry (IDMS). An important advantage of the method is speed. While the analysis of a single sample could take one and half hours, analyses of six samples take 5 h. This is due to the automated PSE system, which allows extraction of six samples simultaneously. Automated system increases the repeatability and reduces analyst dedication and human error input. Recoveries between 79.6% and 93.7% were obtained. GC/ITMS-MS presented high selectivity by eliminating matrix effect so that the LOD values of 0.079-0.493 mg/kg in polymeric matrix were obtained. The method was applied to various selected electrical and electronic products. Sum of the mass fractions of PBDE and PBB analytes in the materials was determined to be under 1000 mg/kg, which is the limit defined by directives. (C) 2013 Elsevier B.V. All rights reserved.</t>
  </si>
  <si>
    <t>10.1016/j.talanta.2013.05.076</t>
  </si>
  <si>
    <t>Binici, B; Bilsel, M; Karakas, M; Koyuncu, I; Goren, AC</t>
  </si>
  <si>
    <t>Binici, Burcu; Bilsel, Mine; Karakas, Melis; Koyuncu, Ikbal; Goren, Ahmet C.</t>
  </si>
  <si>
    <t>TALANTA</t>
  </si>
  <si>
    <t>PBDE; PBB; Polypropylene; Polyethylene; Acrylonitrile butadiene styrene; IDMS</t>
  </si>
  <si>
    <t>BROMINATED FLAME RETARDANTS; POLYBROMINATED DIPHENYL ETHERS; ORGANOCHLORINE PESTICIDE-RESIDUES; PRESSURIZED LIQUID EXTRACTION; TANDEM MASS-SPECTROMETRY; VALIDATION; POLLUTANTS; BIPHENYLS; EXPOSURE; CLEANUP</t>
  </si>
  <si>
    <t>[Binici, Burcu; Bilsel, Mine; Karakas, Melis; Goren, Ahmet C.] TUBITAK UME Natl Metrol Inst, Organ Chem Lab, TR-41470 Gebze, Turkey; [Karakas, Melis] Abant Izzet Baysal Univ, Fac Engn &amp; Architecture Food Engn, Golkoy Bolu, Turkey; [Koyuncu, Ikbal] Yildiz Tech Univ, Dept Chem, TR-34220 Esenler, Turkey</t>
  </si>
  <si>
    <t>National Metrology Institute of Turkey; Turkiye Bilimsel ve Teknolojik Arastirma Kurumu (TUBITAK); Abant Izzet Baysal University; Yildiz Technical University</t>
  </si>
  <si>
    <t>Goren, AC (corresponding author), TUBITAK UME Natl Metrol Inst, Organ Chem Lab, POB 54, TR-41470 Gebze, Turkey.</t>
  </si>
  <si>
    <t>ahmetceyhan.goren@tubitak.gov.tr</t>
  </si>
  <si>
    <t>koyuncu, ikbal/AAZ-8135-2020; Goren, Ahmet Ceyhan/G-1562-2017</t>
  </si>
  <si>
    <t>Goren, Ahmet Ceyhan/0000-0002-5470-130X; koyuncu, ikbal/0000-0003-3189-998X</t>
  </si>
  <si>
    <t>TUBITAK [110T135]</t>
  </si>
  <si>
    <t>We would like to thank TUBITAK for the financial support for this project 110T135.</t>
  </si>
  <si>
    <t>0039-9140</t>
  </si>
  <si>
    <t>1873-3573</t>
  </si>
  <si>
    <t>Talanta</t>
  </si>
  <si>
    <t>268MW</t>
  </si>
  <si>
    <t>WOS:000328176000061</t>
  </si>
  <si>
    <t>Source apportionment of biogenic and anthropogenic VOCs in Bolu plateau</t>
  </si>
  <si>
    <t>Total of 69 volatile organic compounds (VOCs) including both biogenic (isoprene, monoterpenes and oxygenated compounds) and anthropogenic ones were investigated in Bolu plateau by passive sampling technique. The main objective of this study was to determine spatial distributions, seasonal variations and possible sources for a wide variety of VOCs. Two-week passive sampling campaigns were performed in the winter and summer of 2017. Anthropogenic VOCs were predominant with a high percentage of contribution, 91% and 69% for winter and summer, respectively. Relatively higher concentrations of biogenic VOCs during the summer campaign were found to be related to higher solar intensity, temperature and amount of broad-leaved tree species. Benzaldehyde, toluene, phenol, benzene, hexane, decanal, benzothiazole, dodecane and acetophenone were anthropogenic VOCs with higher concentrations. Among biogenic VOCs, hexanal, alpha-pinene and limonene were found to be in higher concentrations. Spatial distribution maps were drawn for each VOC. Elevated concentrations of VOCs around the city center and major roads indicate that emissions from domestic heating activities and vehicular emissions can be significant sources of VOCs. The results were also supported by Positive Matrix Factorization (PMF) analyses and G-score distribution maps. Solvent evaporation, wood-coal combustion, biogenic emissions (pine, grain, grass), city atmosphere (styrene emissions from plastic production), biogenic (hornbeam, pine, juniper) and vehicle emissions were the identified as the primary VOC sources in Bolu plateau, contributing 31%, 22%, 8.0%, 8.0%, 13%, and 18%, respectively to the total VOC concentrations. (c) 2020 Elsevier B.V. All rights reserved.</t>
  </si>
  <si>
    <t>10.1016/j.scitotenv.2020.139201</t>
  </si>
  <si>
    <t>Dorter, M; Odabasi, M; Yenisoy-Karakas, S</t>
  </si>
  <si>
    <t>Dorter, Melike; Odabasi, Mustafa; Yenisoy-Karakas, Serpil</t>
  </si>
  <si>
    <t>VOCs; Passive sampling; Spatial distribution; Seasonal variation; Positive matrix factorization (PMF)</t>
  </si>
  <si>
    <t>VOLATILE ORGANIC-COMPOUNDS; CHEMICAL MASS-BALANCE; PHOTOCHEMICAL OZONE FORMATION; PASSIVE AIR SAMPLERS; SEASONAL-VARIATION; SPATIAL VARIATION; INDUSTRIAL-CITY; SURFACE OZONE; EMISSIONS; POLLUTION</t>
  </si>
  <si>
    <t>[Dorter, Melike; Yenisoy-Karakas, Serpil] Abant Izzet Baysal Univ, Dept Chem, TR-14030 Bolu, Turkey; [Odabasi, Mustafa] Dokuz Eylul Univ, Dept Environm Engn, Izmir, Turkey; [Dorter, Melike] Abant Izzet Baysal Univ, Dept Property Protect &amp; Safety, Bolu, Turkey</t>
  </si>
  <si>
    <t>Abant Izzet Baysal University; Dokuz Eylul University; Abant Izzet Baysal University</t>
  </si>
  <si>
    <t>Yenisoy-Karakas, S (corresponding author), Abant Izzet Baysal Univ, Dept Chem, TR-14030 Bolu, Turkey.</t>
  </si>
  <si>
    <t>yenisoykarakas_s@ibu.edu.tr</t>
  </si>
  <si>
    <t>Yenisoy-Karakas, Serpil/AAG-5969-2019; Odabasi, Mustafa/A-5200-2009</t>
  </si>
  <si>
    <t>Odabasi, Mustafa/0000-0002-0506-0470; DORTER, Melike/0000-0001-9494-5053; yenisoy karakas, serpil/0000-0002-0107-0110</t>
  </si>
  <si>
    <t>Scientific and Technological Research Council of Turkey (TUBITAK) [114Y632]; Scientific Research Projects Coordination Unit of Bolu Abant Izzet Baysal University [BAP-2015.03.03.891]</t>
  </si>
  <si>
    <t>Scientific and Technological Research Council of Turkey (TUBITAK)(Turkiye Bilimsel ve Teknolojik Arastirma Kurumu (TUBITAK)); Scientific Research Projects Coordination Unit of Bolu Abant Izzet Baysal University</t>
  </si>
  <si>
    <t>The present study is a part of a Doctoral thesis entitled Investigation of spatial and seasonal variations of anthropogenic and biogenic volatile organic carbons (VOCs) determined by thermal desorption GC-MS technique and contribution of biogenic VOCs to ozone concentrations at high altitude semi-rural site. This study was supported by the Scientific and Technological Research Council of Turkey (TUBITAK) with 114Y632 project number and Scientific Research Projects Coordination Unit of Bolu Abant Izzet Baysal University with BAP-2015.03.03.891 project number. The authors would like to thank Duran Karakas, Hatice Karadeniz, Akif Ari, Pelin Erturk Ari, Ercan Berberler, Tugce Demir Berberler, Melike Busra Bayramoglu Karsi, Sait Karsi and Esra Magat Turk for their help in the sampling.</t>
  </si>
  <si>
    <t>LT7LH</t>
  </si>
  <si>
    <t>WOS:000537247700010</t>
  </si>
  <si>
    <t>Long-term results of migraine surgery and the relationship between anatomical variations and pain</t>
  </si>
  <si>
    <t>Background: Migraine headache surgery has been recently reported and supported by studies as management to provide long-term relief in migraine sufferers. This study aimed to monitor the long-term results of patients who underwent migraine surgery in our clinic and determine the relationship between pain and anatomical anomalies.Methods: A prospective review was conducted of 93 patients who underwent surgery for mi-graine headaches performed between 2017 and 2021 by the senior author (M.U.) and had at least 12 months of follow-up. Anatomical data were obtained by recording the findings during surgery. Migraine surgery was performed bilaterally in all patients. Anatomical symmetry dif-ferences between the right and left sides were recorded.Results: A total of 79 (84.9%) patients experienced at least 50% reduction in migraine headache. Furthermore, 13 (14%) patients reported complete elimination of migraine headache. A significant dif-ference was found before and after surgery in Migraine Disability Assessment score, migraine headache index, frequency, duration, and pain (p &lt; 0.001). Also, 30 (32.3%) of the patients had bilateral headaches and 63 (67.7%) had primarily unilateral headaches. Then, 51 (81%) patients with mostly unilateral headache were anatomically asymmetrical and 12 (12%) were anatomically symmetrical. Patients with mostly unilateral headache were found to be anatomically highly asymmetrical (p &lt; 0.005).Conclusions: This study shows that surgical treatment is effective and long-term protection and has mild complications that are easily tolerated by the patient. The fact that headache side and anatomical asymmetry were significant in this study supports the peripheral mechanism. &amp; COPY; 2023 British Association of Plastic, Reconstructive and Aesthetic Surgeons. Published by Elsevier Ltd. All rights reserved.</t>
  </si>
  <si>
    <t>10.1016/j.bjps.2023.02.0051748-6815</t>
  </si>
  <si>
    <t>Urhan, N; Saglam, Y; Akkaya, F; Saglam, O; Sahin, H; Uraloglu, M</t>
  </si>
  <si>
    <t>Urhan, Necdet; Saglam, Yunus; Akkaya, Fatih; Saglam, Oguzhan; Sahin, Huseyin; Uraloglu, Muhammet</t>
  </si>
  <si>
    <t>Headache; Migraine; Migraine surgery; Trigeminal nerve</t>
  </si>
  <si>
    <t>GREATER OCCIPITAL NERVE; SURGICAL-TREATMENT; EXTRACRANIAL ARTERIES; TRIGEMINAL NERVE; HEADACHE; OUTCOMES</t>
  </si>
  <si>
    <t>[Urhan, Necdet; Saglam, Yunus; Akkaya, Fatih; Saglam, Oguzhan; Sahin, Huseyin; Uraloglu, Muhammet] Karadeniz Tech Univ, Dept Plast Surg, Sch Med, Trabzon, Turkiye</t>
  </si>
  <si>
    <t>Urhan, N (corresponding author), Karadeniz Tech Univ, Dept Plast Surg, Sch Med, Trabzon, Turkiye.</t>
  </si>
  <si>
    <t>drnecdeturhan@gmail.com</t>
  </si>
  <si>
    <t>J8SR1</t>
  </si>
  <si>
    <t>WOS:001012273000001</t>
  </si>
  <si>
    <t>Hexagonal boron nitride as a tablet lubricant and a comparison with conventional lubricants</t>
  </si>
  <si>
    <t>The objective of this study was to investigate the lubrication properties of hexagonal boron nitride (HBN) as a new tablet lubricant and compare it with conventional lubricants such as magnesium stearate (MGST), stearic acid (STAC), and glyceryl behenate (COMP). Tablets were manufactured on an instrumented single-station tablet press to monitor lower punch ejection force (LPEF) containing varied lubricants in different ratio (0.5, 1, 2%). Tablet crushing strength, disintegration time and thickness were measured. Tensile strength of compacted tablets were measured by applying a diametrical load across the edge of tablets to determine mechanical strength. The deformation mechanism of tablets was studied during compression from the Heckel plots with or without lubricants. MGST was found to be the most effective lubricant based on LPEF-lubrication concentration profile and LPEF of HBN was found very close to that of MGST. HBN was better than both STAC and COMP. A good lubrication was obtained at 0.5% for MGST and HBN (189 and 195N, respectively). Where COMP and STAC showed 20 and 35% more LPEF compare to that of MGST (239 and 288N, respectively). Even at the concentration of 2% COMP and STAC did not decrease LPEF as much as 0.5% of MGST and HBN. Like all conventional lubricants the higher the concentration of HBN the lower the mechanical properties of tablets because of its hydrophobic character. However, this deterioration was not as pronounced as MGST. HBN had no significant effect on tablet properties. Based on the Heckel plots, it was observed that after the addition of 1% lubricant granules showed less plastic deformation. (c) 2007 Elsevier B.V. All rights reserved.</t>
  </si>
  <si>
    <t>10.1016/j.ijpharm.2007.11.018</t>
  </si>
  <si>
    <t>Ugurlu, T; Turkoglu, M</t>
  </si>
  <si>
    <t>Ugurlu, Timucin; Turkoglu, Murat</t>
  </si>
  <si>
    <t>INTERNATIONAL JOURNAL OF PHARMACEUTICS</t>
  </si>
  <si>
    <t>lubricants; hexagonal boron nitride; tablets; lower punch ejection force (LPEF); magnesium stearate</t>
  </si>
  <si>
    <t>MAGNESIUM STEARATE; POWDER COMPACTION; COMPRESSION</t>
  </si>
  <si>
    <t>[Ugurlu, Timucin; Turkoglu, Murat] Marmara Univ, Fac Pharm, Dept Pharmaceut Technol, TR-34668 Istanbul, Turkey</t>
  </si>
  <si>
    <t>Marmara University</t>
  </si>
  <si>
    <t>Ugurlu, T (corresponding author), Marmara Univ, Fac Pharm, Dept Pharmaceut Technol, TR-34668 Istanbul, Turkey.</t>
  </si>
  <si>
    <t>tugurlu@marmara.edu.tr</t>
  </si>
  <si>
    <t>0378-5173</t>
  </si>
  <si>
    <t>INT J PHARM</t>
  </si>
  <si>
    <t>Int. J. Pharm.</t>
  </si>
  <si>
    <t>APR 2</t>
  </si>
  <si>
    <t>293FF</t>
  </si>
  <si>
    <t>WOS:000255320000007</t>
  </si>
  <si>
    <t>Effect of cumin essential oil usage on fermentation quality, aerobic stability and in vitro digetibility of alfalfa silage</t>
  </si>
  <si>
    <t>Objective: This study was carried out to determine the effects of cumin essential oil on the silage fermentation, aerobic stability and in vitro digestibility of alfalfa silages. Methods: Alfalfa was harvested at early bloom (5th cutting) stage in October and wilted for about 3 hours. The research was carried out at three groups which were the control group where no additive control was done (CON), cumin essential oil (CMN3) with 300 mg/kg and CMN5 with 500 mg/kg cumin essential oil addition. Alfalfa was ensiled in plastic bags. The packages were stored at 8 degrees C +/- 2 degrees C under laboratory conditions. All groups were sampled for physical, chemical and microbiological analysis 120th day after ensiling. At the end of the ensiling period, all silages were subjected to an aerobic stability test for 7 days. In addition, enzimatic solubility of organic matter (ESOM), metabolizable energy (ME), and relative feed value (RFV) of these silages were determined. Results: pH level decreased in the cumin groups compared to CON (p&lt;0.05), thus inhibiting proteolytic enzymes from breaking down proteins into ammonia. In addition, it increased ESOM amount, and concordantly provided an increase of ME contents. Similarly, dry matter intake and RFV ratio increased. After opening the silage, it kept its aerobic stability for three days. Conclusion: Cumin essential oil improved fermentation, and affected chemical and microbiological characteristics of silages. Especially the addition of 300 mg/kg cumin provided cell wall fractionation through stimulating the activities of enzymes responsible. It also increased the number and activity of lactic acid bacteria (LAB) through providing a development of LAB.</t>
  </si>
  <si>
    <t>10.5713/ajas.17.0834</t>
  </si>
  <si>
    <t>Turan, A; Onenc, SS</t>
  </si>
  <si>
    <t>Turan, Asli; Onenc, Sibel Soycan</t>
  </si>
  <si>
    <t>Alfalfa; Silage; Cumin; Essential Oil; In vitro Digestibility</t>
  </si>
  <si>
    <t>FORMIC-ACID; LACTIC-ACID; INOCULANT; ADDITIVES; OREGANO; FIBER</t>
  </si>
  <si>
    <t>[Turan, Asli; Onenc, Sibel Soycan] Univ Namik Kemal, Fac Agr, Dept Anim Sci, TR-59030 Tekirdag, Turkey</t>
  </si>
  <si>
    <t>Onenc, SS (corresponding author), Univ Namik Kemal, Fac Agr, Dept Anim Sci, TR-59030 Tekirdag, Turkey.</t>
  </si>
  <si>
    <t>ssonenc@nku.edu.tr</t>
  </si>
  <si>
    <t>Önenç, Sibel Soycan/ABA-3503-2020</t>
  </si>
  <si>
    <t>SOYCAN-ONENC, Sibel/0000-0001-9452-4435</t>
  </si>
  <si>
    <t>NKUBAP (University of Namik Kemal Scientific Research Project) [NKUBAP.00.24.YL.14.04]</t>
  </si>
  <si>
    <t>NKUBAP (University of Namik Kemal Scientific Research Project)(Namik Kemal University)</t>
  </si>
  <si>
    <t>This study was funded by NKUBAP (University of Namik Kemal Scientific Research Project) within the framework of NKUBAP.00.24.YL.14.04. It was taken form MSc Thesis.</t>
  </si>
  <si>
    <t>GK4XW</t>
  </si>
  <si>
    <t>Green Published, gold, Green Submitted</t>
  </si>
  <si>
    <t>WOS:000436173000023</t>
  </si>
  <si>
    <t>NURSING CARE OF PATIENTS WITH RECONSTRUCTIVE BREAST SURGERY USING TRANSVERSE RECTUS ABDOMINIS MYOCUTANEOUS FLAP</t>
  </si>
  <si>
    <t>Mastectomy due to breast cancer is one of the most severe traumas a woman can experience in her lifetime. Women perceive themselves as mutilated, incomplete, diseased, and unsightly following a mastectomy; experience emotions of depression, despair, despondency, and anger; concern for the future; and undergo adaptation problems in their relations with family members and in their sex lives. In other words, breast cancer has the devastating effect of a living nightmare for many women. Breast reconstruction surgery aims to reduce the nightmarish impact of breast cancer. The objective of breast reconstruction is to alleviate the woman's feelings of being an incomplete and crippled person in the face of losing a sexual organ, despite the disease she has suffered. Reconstructive breast surgery can be performed simultaneously with mastectomy, or at a later stage. One intervention often preferred today is a transverse rectus abdominis myocutaneous (TRAM) flap. The primary advantages of the TRAM flap are its ability to provide a permanent, natural breast contour, removal of excess fat in the lower abdomen (tummy-tuck), and tightening of the abdominal wall. However, prolonged recovery following a TRAM flap, loss of flap, abdominal weakness, difficulty in performing daily, routine activities, and the possible need for further plastic surgery to ensure symmetry with the other breast are among the disadvantages of the TRAM flap technique. All of these factors require careful selection and care of patients who will undergo reconstruction through TRAM flap. Nursing care to be provided to patients with TRAM flaps involves flap monitoring, pain management, drain monitoring, prevention of possible complications, and home-care training of the patient.</t>
  </si>
  <si>
    <t>Demir, SG; Bulut, H</t>
  </si>
  <si>
    <t>Demir, Sevil Guler; Bulut, Hulya</t>
  </si>
  <si>
    <t>JOURNAL OF BREAST HEALTH</t>
  </si>
  <si>
    <t>breast cancer; breast reconstruction; transverse rectus abdominis musculocutaneous flap; nursing care</t>
  </si>
  <si>
    <t>[Demir, Sevil Guler; Bulut, Hulya] Gazi Univ, Saglik Bilimleri Fak, Hemsirelik Bolumu, Ankara, Turkey</t>
  </si>
  <si>
    <t>Demir, SG (corresponding author), Gazi Univ, Saglik Bilimleri Fak, Hemsirelik Bolumu, Ankara, Turkey.</t>
  </si>
  <si>
    <t>sevilgulerdemir@yahoo.com</t>
  </si>
  <si>
    <t>Bulut, Hülya/AHB-4636-2022; Bulut, Hülya/GXH-8614-2022</t>
  </si>
  <si>
    <t>2149-1976</t>
  </si>
  <si>
    <t>J BREAST HEALTH</t>
  </si>
  <si>
    <t>J. Breast Health</t>
  </si>
  <si>
    <t>Reproductive Biology</t>
  </si>
  <si>
    <t>V3R6G</t>
  </si>
  <si>
    <t>WOS:000218523700003</t>
  </si>
  <si>
    <t>Development of high-volume low-lime and high-lime fly-ash-incorporated self-consolidating concrete</t>
  </si>
  <si>
    <t>The current article presents an experimental study on the use of two types of fly ash ( low lime and high lime) as mineral admixtures in producing self-consolidating concrete (SCC) with the objective of assessing the effects of both types of fly ash on the fresh and hardened properties of SCCs. Within the scope of an experimental programme, SCCs were prepared by keeping the total mass of cementitious materials constant at 500 kg/m(3), in which 30, 40, 50, 60 or 70% of cement, by mass, was replaced by high-lime and low-lime fly ash. The workability-related fresh properties of SCCs were observed through slump flow time and diameter, V-funnel flow time, L-box height ratio, GTM sieve stability test and the rheological parameters ( relative yield stress and relative plastic viscosity). Setting times and temperature rise of SCCs were also determined as part of fresh properties. The hardened properties that were monitored for a year included the compressive strength, ultrasonic pulse velocity, drying shrinkage and chloride permeability. It was observed that the geometry and surface characteristics of fly ash affected the workability properties of SCC mixtures. Nonetheless, the compressive strength of SCC mixtures with 30 - 40% low-lime fly ash replacement was slightly greater than the control SCC mixture at the end of the year, as the amount of fly ash replacement increased losses in compressive strength. As a result of this experimental study, it could be concluded that SCCs incorporating a fly ash replacement of 70% could be produced with improved fresh and permeation properties and sufficient compressive strength.</t>
  </si>
  <si>
    <t>10.1680/macr.2007.59.2.97</t>
  </si>
  <si>
    <t>Sahmaran, M; Yaman, O; Tokyay, M</t>
  </si>
  <si>
    <t>Sahmaran, M.; Yaman, Oe.; Tokyay, M.</t>
  </si>
  <si>
    <t>MAGAZINE OF CONCRETE RESEARCH</t>
  </si>
  <si>
    <t>NON-ACTIVE POROSITY; MECHANICAL-PROPERTIES; PERFORMANCE; WORKABILITY; DURABILITY</t>
  </si>
  <si>
    <t>Middle E Tech Univ, Dept Civil Engn, Coll Engn, TR-06531 Ankara, Turkey</t>
  </si>
  <si>
    <t>Sahmaran, M (corresponding author), Middle E Tech Univ, Dept Civil Engn, Coll Engn, TR-06531 Ankara, Turkey.</t>
  </si>
  <si>
    <t>Sahmaran, Mustafa/N-8693-2018</t>
  </si>
  <si>
    <t>ICE PUBLISHING</t>
  </si>
  <si>
    <t>WESTMINISTER</t>
  </si>
  <si>
    <t>INST CIVIL ENGINEERS, 1 GREAT GEORGE ST, WESTMINISTER SW 1P 3AA, ENGLAND</t>
  </si>
  <si>
    <t>0024-9831</t>
  </si>
  <si>
    <t>1751-763X</t>
  </si>
  <si>
    <t>MAG CONCRETE RES</t>
  </si>
  <si>
    <t>Mag. Concr. Res.</t>
  </si>
  <si>
    <t>152GF</t>
  </si>
  <si>
    <t>WOS:000245348800003</t>
  </si>
  <si>
    <t>Spraying opened sugar beet pulp silage with oregano essential oil helps to sustain quality and stability</t>
  </si>
  <si>
    <t>This study was conducted to determine the effects of spraying oregano essential oil (OEO) onto sugar beet pulp silage (SBPS) on silage quality and aerobic stability after opening. A factorial experiment with three replicates of three treatments and four time periods was conducted using laboratory-type plastic silos. The treatments were an untreated control, silage sprayed with 10 ml/75 cm(2) OEO, and silage sprayed with 20 ml/75 cm(2) OEO. The silages were sampled at 0, 72, 120, and 168 hours after spraying. Temperature, L*, a*, and b* colour values, pH, water-soluble carbohydrates, crude nutrient contents, Fleig score, metabolizable energy (ME) value, lactic acid bacteria (LAB), total live bacteria (TLB), yeast, and mould formation were assessed. Spraying OEO onto SBPS did not affect L*, a*, and b* values, pH, water-soluble carbohydrates, and Fleig score values, but decreased temperature. Spraying OEO onto the silage increased organic matter, ether extract, acid detergent fibre, neutral detergent fibre and acid detergent lignin contents without affecting crude protein, crude fibre, nitrogen free extract, and ME contents. Irrespective of treatment, crude protein, ether extract, acid detergent fibre, acid detergent lignin, nitrogen free extract, Fleig score, and ME contents of silages increased with time after spraying. The OEO spraying reduced LAB, TLB, and yeast contents in silages. In conclusion, OEO spraying onto opened SBPS reduced LAB, TLB, and yeast formation and stopped mould growth up to 72 hours without affecting their nutritional properties, suggesting that OEO could be used to ensure the stability of SBPS.</t>
  </si>
  <si>
    <t>10.4314/sajas.v50i1.2</t>
  </si>
  <si>
    <t>Cayiroglu, H; Filik, G; Coskun, I; Filik, AG; Cayan, H; Sahin, A</t>
  </si>
  <si>
    <t>Cayiroglu, H.; Filik, G.; Coskun, I; Filik, A. Gul; Cayan, H.; Sahin, A.</t>
  </si>
  <si>
    <t>SOUTH AFRICAN JOURNAL OF ANIMAL SCIENCE</t>
  </si>
  <si>
    <t>aerobic stability; mould growth; silage microbiology; nutrients; feeding management</t>
  </si>
  <si>
    <t>AEROBIC STABILITY; CHEMICAL-COMPOSITION; MAIZE SILAGE; CORN-SILAGE; DRY-MATTER; FERMENTATION; DIGESTIBILITY; METABOLITES; GRAIN</t>
  </si>
  <si>
    <t>[Cayiroglu, H.; Coskun, I; Cayan, H.; Sahin, A.] Kirsehir Ahi Evran Univ, Fac Agr, Dept Anim Sci, TR-40100 Kirsehir, Turkey; [Filik, G.; Filik, A. Gul] Kirsehir Ahi Evran Univ, Fac Agr, Dept Agr Biotechnol, TR-40100 Kirsehir, Turkey</t>
  </si>
  <si>
    <t>Ahi Evran University; Ahi Evran University</t>
  </si>
  <si>
    <t>Cayiroglu, H (corresponding author), Kirsehir Ahi Evran Univ, Fac Agr, Dept Anim Sci, TR-40100 Kirsehir, Turkey.</t>
  </si>
  <si>
    <t>hayrettincayiroglu@ahievran.edu.tr</t>
  </si>
  <si>
    <t>Filik, Gökhan/Y-7701-2019</t>
  </si>
  <si>
    <t>Filik, Gökhan/0000-0003-4639-3922; CAYIROGLU, HAYRETTIN/0000-0002-8286-9484</t>
  </si>
  <si>
    <t>Kirsehir Ahi Evran University Office of Coordinatorship of Scientific Research Projects [PYO-ZRT.4001.15.001]</t>
  </si>
  <si>
    <t>Kirsehir Ahi Evran University Office of Coordinatorship of Scientific Research Projects</t>
  </si>
  <si>
    <t>The authors would like to thank Department of Agricultural Biotechnology, Faculty of Agriculture, Erciyes University Research Assistant Mr Olgay Kaan Tekin, Kirsehir Ahi Evran University, Faculty of Agriculture, Department of Agricultural Biotechnology students Mrs Dicle Cicek and Mrs Burcin Durmus and Mrs Zeynep Kar and Mr Ruhat Furkan Acar for their contributions to laboratory work. This study was supported by Kirsehir Ahi Evran University Office of Coordinatorship of Scientific Research Projects with PYO-ZRT.4001.15.001 registration number.</t>
  </si>
  <si>
    <t>SOUTH AFRICAN JOURNAL OF ANIMAL SCIENCES</t>
  </si>
  <si>
    <t>HATFIELD</t>
  </si>
  <si>
    <t>C/O ESTIE KOSTER, PO BOX 13884, HATFIELD 0028, SOUTH AFRICA</t>
  </si>
  <si>
    <t>0375-1589</t>
  </si>
  <si>
    <t>S AFR J ANIM SCI</t>
  </si>
  <si>
    <t>South Afr. J. Anim. Sci.</t>
  </si>
  <si>
    <t>LG7EG</t>
  </si>
  <si>
    <t>WOS:000528258900002</t>
  </si>
  <si>
    <t>Molecular structure stability of short-chain chlorinated paraffins (SCCPs): Evidence from lattice compatibility and Simha-Somcynsky theories</t>
  </si>
  <si>
    <t>In is known that short-chain chlorinated paraffins (SCCPs) are highly complex technical mixtures of polychlorinated n-alkanes with single chlorine content. Due to their physical properties (viscosity, flame resistance) they are used in many different applications, such as lubricant additives, metal processing, leather fat-liquoring, plastics softening, PVC plasticizing and flame retardants in paints, adhesives and sealants. SCCPs are studied here in terms of processing-linked molecular structure stability, under Simha and Somcynsky-EOS theory calculations and elements from Simha-Somcynsky-related Lattice Compatibility Theory. Analyses were carried out on 1-chloropropane, 2-chloropropane, 1-chlorobutane, 2-chlorobutane, 1-chloro 2-methylane, and 2-chloro 2-methylane as (SCCPs) universal representatives. This paper gives evidence to this stability and reviews the current state of knowledge and highlights the need for further research in order to improve future (SCCPs) monitoring efforts. (C) 2015 Elsevier B.V. All rights reserved.</t>
  </si>
  <si>
    <t>10.1016/j.molstruc.2015.06.007</t>
  </si>
  <si>
    <t>Yumak, A; Boubaker, K; Petkova, P; Yahsi, U</t>
  </si>
  <si>
    <t>Yumak, A.; Boubaker, K.; Petkova, P.; Yahsi, U.</t>
  </si>
  <si>
    <t>JOURNAL OF MOLECULAR STRUCTURE</t>
  </si>
  <si>
    <t>Short-chain chlorinated paraffins; LCT; Simha-Somcynsky theory; Free volume; Hole fraction; Thermo-occupancy function</t>
  </si>
  <si>
    <t>PHASE-TRANSITION; BINARY-MIXTURES; THEORY LCT; PATTERNS; PURE; DEGRADATION; TEMPERATURE; CRYSTALS; DYNAMICS</t>
  </si>
  <si>
    <t>[Yumak, A.; Yahsi, U.] Marmara Univ, Fac Arts &amp; Sci, Dept Phys, TR-34722 Istanbul, Turkey; [Boubaker, K.] Tunis EL MANAR Univ, Unite Phys Dispositifs Semicond, Tunis, Tunisia; [Petkova, P.] Shumen Univ Konstantin Preslavsky, Shumen 9712, Bulgaria</t>
  </si>
  <si>
    <t>Marmara University; Universite de Tunis-El-Manar; University of Shumen</t>
  </si>
  <si>
    <t>Yumak, A (corresponding author), Marmara Univ, Fac Arts &amp; Sci, Dept Phys, TR-34722 Istanbul, Turkey.</t>
  </si>
  <si>
    <t>ayumak@marmara.edu.tr</t>
  </si>
  <si>
    <t>Yahsi, Ugur/Y-2116-2019</t>
  </si>
  <si>
    <t>Yumak, Ayse/0000-0003-2472-5033; Yahsi, Ugur/0000-0002-6587-883X</t>
  </si>
  <si>
    <t>0022-2860</t>
  </si>
  <si>
    <t>1872-8014</t>
  </si>
  <si>
    <t>J MOL STRUCT</t>
  </si>
  <si>
    <t>J. Mol. Struct.</t>
  </si>
  <si>
    <t>CQ8PG</t>
  </si>
  <si>
    <t>WOS:000360870100032</t>
  </si>
  <si>
    <t>Development and Validation of a 3D In Vitro Model to Study the Chemotactic Behavior of Corneal Stromal Fibroblasts</t>
  </si>
  <si>
    <t>Chemotaxis plays a pivotal role in crucial biological phenomena including immune response, cancer metastasis, and wound healing. Although many chemotaxis assays have been developed to better understand these multicomplex biological mechanisms, most of them have serious limitations mainly due to the poor representation of native three-dimensional (3D) microenvironment. Here, we describe a method to develop and validate a novel 3D in vitro chemotaxis model to study the migration of corneal fibroblasts through a stromal equivalent. A hydrogel was used that contained gelatin microspheres loaded with platelet-derived growth factor-BB (PDGF-BB) in the inner section and corneal fibroblasts in the outer section. The cell migration toward the chemical stimuli over time can be monitored via confocal microscopy. The development of this in vitro model can be used for both qualitative and quantitative examinations of chemotaxis.</t>
  </si>
  <si>
    <t>10.1007/978-1-0716-0599-8_13</t>
  </si>
  <si>
    <t>Kabak, EC; Fernandez-Perez, J; Ahearne, M</t>
  </si>
  <si>
    <t>Kabak, Evrim Ceren; Fernandez-Perez, Julia; Ahearne, Mark</t>
  </si>
  <si>
    <t>CORNEAL REGENERATION: Methods and Protocols</t>
  </si>
  <si>
    <t>Chemotaxis assays; Chemoattractant; Corneal wound healing; Tissue engineering; 3D microenvironment; In vitro model; Corneal stromal fibroblasts; Growth factor delivery system; Plastic compression</t>
  </si>
  <si>
    <t>ASSAY</t>
  </si>
  <si>
    <t>[Kabak, Evrim Ceren; Ahearne, Mark] Univ Dublin, Trinity Coll Dublin, Trinity Biomed Sci Inst, Trinity Ctr Biomed Engn, Dublin, Ireland; [Kabak, Evrim Ceren] Nobel Pharmaceut AS, Biotechnol Unit, Kocaeli, Turkey; [Fernandez-Perez, Julia; Ahearne, Mark] Univ Dublin, Trinity Coll Dublin, Sch Engn, Dept Mech &amp; Mfg Engn, Dublin, Ireland</t>
  </si>
  <si>
    <t>Trinity College Dublin; Trinity College Dublin</t>
  </si>
  <si>
    <t>Kabak, EC (corresponding author), Univ Dublin, Trinity Coll Dublin, Trinity Biomed Sci Inst, Trinity Ctr Biomed Engn, Dublin, Ireland.;Kabak, EC (corresponding author), Nobel Pharmaceut AS, Biotechnol Unit, Kocaeli, Turkey.</t>
  </si>
  <si>
    <t>Fernández-Pérez, Julia/S-8960-2019</t>
  </si>
  <si>
    <t>Fernández-Pérez, Julia/0000-0002-8375-2907; Ahearne, Mark/0000-0002-4540-4434</t>
  </si>
  <si>
    <t>European Research Council [EYEREGEN-637460]</t>
  </si>
  <si>
    <t>European Research Council(European Research Council (ERC))</t>
  </si>
  <si>
    <t>This research is supported by European Research Council starting grant [EYEREGEN-637460].</t>
  </si>
  <si>
    <t>S</t>
  </si>
  <si>
    <t>HUMANA PRESS INC</t>
  </si>
  <si>
    <t>TOTOWA</t>
  </si>
  <si>
    <t>999 RIVERVIEW DR, STE 208, TOTOWA, NJ 07512-1165 USA</t>
  </si>
  <si>
    <t>1064-3745</t>
  </si>
  <si>
    <t>1940-6029</t>
  </si>
  <si>
    <t>978-1-0716-0599-8; 978-1-0716-0598-1</t>
  </si>
  <si>
    <t>METHODS MOL BIOL</t>
  </si>
  <si>
    <t>Methods Mol. Biol.</t>
  </si>
  <si>
    <t>10.1007/978-1-0716-0599-8</t>
  </si>
  <si>
    <t>Biochemical Research Methods; Cell &amp; Tissue Engineering; Engineering, Biomedical; Ophthalmology</t>
  </si>
  <si>
    <t>Biochemistry &amp; Molecular Biology; Cell Biology; Engineering; Ophthalmology</t>
  </si>
  <si>
    <t>BS0CW</t>
  </si>
  <si>
    <t>WOS:000680930300014</t>
  </si>
  <si>
    <t>Investigation of possible causes of sinkhole incident at the Zonguldak Coal Basin, Turkey</t>
  </si>
  <si>
    <t>The subsidence mechanism of ground surface is a complex phenomenon when multiple seam coal mining operations are carried out. Particularly, the coal mining beneath karstic formations causes a very special form of subsidence. The subsidence causes elasto-plastic deformation of the karstic layers and the collapse of cavities leads to dolinization and/or sinkhole formation. In this study, a sinkhole with a depth of 90 m and a width of 25 m formed in Gelik district within the coalbasin of Zonguldak (NW, Turkey) induced by multiple seam coal mining operations in the past has been presented as a casehistory together with two-dimensional numerical simulations and InSAR monitoring. The computational results proved that the sinkhole was formed as a result of severe yielding in the close vicinity of the faults in contact with karstic formation due to multiple seam longwall mining at different levels.</t>
  </si>
  <si>
    <t>10.12989/gae.2018.16.2.177</t>
  </si>
  <si>
    <t>Genis, M; Akcin, H; Aydan, O; Bacak, G</t>
  </si>
  <si>
    <t>Genis, Melih; Akcin, Hakan; Aydan, Omer; Bacak, Gurkan</t>
  </si>
  <si>
    <t>GEOMECHANICS AND ENGINEERING</t>
  </si>
  <si>
    <t>sinkhole; subsidence; karstic cave; underground coal mining</t>
  </si>
  <si>
    <t>RISK-ASSESSMENT; WATER INRUSH; KARST; SUBSIDENCE; HAZARDS; TUNNEL; CHINA; MODEL</t>
  </si>
  <si>
    <t>[Genis, Melih] Zonguldak Bulent Ecevit Univ, Dept Min Engn, Zonguldak, Turkey; [Akcin, Hakan] Zonguldak Bulent Ecevit Univ, Dept Geomat Engn, Zonguldak, Turkey; [Aydan, Omer] Ryukyus Univ, Dept Civil Engn &amp; Architecture, Nishihara, Okinawa, Japan; [Bacak, Gurkan] Zonguldak Bulent Ecevit Univ, Dept Geol Engn, Zonguldak, Turkey</t>
  </si>
  <si>
    <t>Bulent Ecevit University; Bulent Ecevit University; University of the Ryukyus; Bulent Ecevit University</t>
  </si>
  <si>
    <t>Genis, M (corresponding author), Zonguldak Bulent Ecevit Univ, Dept Min Engn, Zonguldak, Turkey.</t>
  </si>
  <si>
    <t>genis@beun.edu.tr</t>
  </si>
  <si>
    <t>akcin, hakan/AAA-6691-2022; akcin, hakan/AAM-2090-2021</t>
  </si>
  <si>
    <t>Earth Remote Sensing Data Analysis Center (ERSDAC) Japan; Scientific Research Unit of Zonguldak Bulent Ecevit University (ZBEU), Turkey; ERSDAC; ZBEU</t>
  </si>
  <si>
    <t>Image analyses of this research work has been supported by the Earth Remote Sensing Data Analysis Center (ERSDAC) Japan and Scientific Research Unit of Zonguldak Bulent Ecevit University (ZBEU), Turkey. The authors wish to thank ERSDAC and ZBEU for their supports. Furthermore, we sincerely thank to Mr. Tomonori Deguchi for SAR analyses. Another thank goes to Dr. Ahmet Dursun and Dr. Burak Coban from Zonguldak Bulent Ecevit University for English editing the paper.</t>
  </si>
  <si>
    <t>2005-307X</t>
  </si>
  <si>
    <t>GEOMECH ENG</t>
  </si>
  <si>
    <t>Geomech. Eng.</t>
  </si>
  <si>
    <t>GV7LB</t>
  </si>
  <si>
    <t>WOS:000446305700007</t>
  </si>
  <si>
    <t>An advanced stratified decision-making strategy to explore viable plastic waste-to-energy method: A step towards sustainable dumped wastes management</t>
  </si>
  <si>
    <t>Dumping waste and dumping sites pose significant environmental issues with serious implications for human health, the environment, and wildlife. Dumping grounds can also cause difficulties such as leaching, which occurs when waste chemicals seep into the soil and damage groundwater resources. The vast quantity of dumped waste plastic is a major source of energy in the form of gas, fuel, and electricity. The selection of the most appropriate waste-to-energy (WtE) technology affects the dumped waste because it allows for reduced greenhouse gas emissions, diverts dumpsites, generates energy, supports the circular economy, and lowers post-recycling pollution. This complex selection problem requires careful consideration of uncertainties from multi-perspective analysis, vague information, and imprecision in decisions. The stratified fuzzy multi-criteria decision making approach is suitable for addressing different states of events, uncertain data, and sustainable choice selection. Hence, we improved the intuitionistic analytical hierarchical process with a stratified targeting concept for multi-level criteria importance and coupled it with weighted aggregated sum product assessment for ranking WtE techniques. The preferences of experts are characterized using intuitionistic fuzzy preference relations. An empirical study on dumped plastic waste and dumpsite management discovered that plasma technology becomes a more feasible option by satisfying stratification and is more effective in clearing landfills by recovering energy. The comparative analysis, sensitive analysis, and Spearman's rank correlation validate the proposed methodology, and this method seems to be a new dimension to handle ecological issues.&amp; COPY; 2023 Elsevier B.V. All rights reserved.</t>
  </si>
  <si>
    <t>10.1016/j.asoc.2023.110452</t>
  </si>
  <si>
    <t>Kang, D; Manirathinam, T; Geetha, S; Narayanamoorthy, S; Ferrara, M; Ahmadian, A</t>
  </si>
  <si>
    <t>Kang, Daekook; Manirathinam, Thangaraj; Geetha, Selvaraj; Narayanamoorthy, Samayan; Ferrara, Massimiliano; Ahmadian, Ali</t>
  </si>
  <si>
    <t>Stratified targets; Dumpsites clearance; Waste -to -energy technologies; Intuitionistic fuzzy sets; AHP-WASPAS; Spearman's rank correlation</t>
  </si>
  <si>
    <t>MCDM METHODS; LIQUEFACTION; TECHNOLOGY; SELECTION; GASIFICATION; GENERATION; PYROLYSIS; RECOVERY; DISPOSAL; TOPSIS</t>
  </si>
  <si>
    <t>[Kang, Daekook] Inje Univ, Inst Digital Antiaging Healthcare, Dept Ind &amp; Management Engn, 197 Inje ro, Gimhae Si, Gyeongsangnam D, South Korea; [Manirathinam, Thangaraj; Geetha, Selvaraj; Narayanamoorthy, Samayan] Bharathiar Univ, Dept Math, Coimbatore 641046, India; [Ferrara, Massimiliano] Mediterranea Univ Reggio Calabria, Dept Law Econ &amp; Human Sci, Reggio Di Calabria, Italy; [Ahmadian, Ali] Cent Queensland Univ, Coll Engn &amp; Aviat, Sch Engn &amp; Technol, Rockhampton, Australia; [Ahmadian, Ali] Lebanese Amer Univ, Dept Comp Sci &amp; Math, Beirut, Lebanon; [Ahmadian, Ali] Near East Univ, Dept Math, TRNC,10, Mersin, Turkey</t>
  </si>
  <si>
    <t>Inje University; Bharathiar University; Universita Mediterranea di Reggio Calabria; Central Queensland University; Lebanese American University; Near East University</t>
  </si>
  <si>
    <t>Manirathinam, T (corresponding author), Bharathiar Univ, Dept Math, Coimbatore 641046, India.;Ahmadian, A (corresponding author), Cent Queensland Univ, Coll Engn &amp; Aviat, Sch Engn &amp; Technol, Rockhampton, Australia.</t>
  </si>
  <si>
    <t>dkkang@inje.ac.kr; manirathinam.maths@buc.edu.in; geetha.162201003@buc.edu.in; snmphd@buc.edu.in; ahmadian.hosseini@gmail.com</t>
  </si>
  <si>
    <t>Ahmadian, Ali/N-3697-2015; Ferrara, Massimiliano/P-8797-2014</t>
  </si>
  <si>
    <t>Ahmadian, Ali/0000-0002-0106-7050; Ferrara, Massimiliano/0000-0002-3663-836X; THANGARAJ, MANIRATHINAM/0000-0002-6688-9493</t>
  </si>
  <si>
    <t>National Research Foundation (NRF) of Korea - Korean Government (MSIT) [NRF-2020S1A5A8044635, NRF-2022R1C1C1006671]</t>
  </si>
  <si>
    <t>This work was supported by a National Research Foundation (NRF) of Korea grant funded by the Korean Government (MSIT) Grant NRF-2020S1A5A8044635, NRF-2022R1C1C1006671.</t>
  </si>
  <si>
    <t>L1OK9</t>
  </si>
  <si>
    <t>WOS:001021018000001</t>
  </si>
  <si>
    <t>Sixteen Year (2002-2017) Record of Sea Turtle Strandings on Samandag Beach, the Eastern Mediterranean Coast of Turkey</t>
  </si>
  <si>
    <t>Data on stranded sea turtles allow us to obtain information about age classes, temporal and spatial distributions, and mortality rates in turtles. This study aims to investigate life stages, temporal variation in the number of stranded, body size trend, causes of stranding, and scute deviation of stranded sea turtles on Samandag Beach, the eastern Mediterranean coast of Turkey during 2002-2017. A total of 302 stranded dead turtles were found. Among these, 167 (55.4%) of them were Chelonia mydas, 127 (42%) Caretta caretta, 2 (0.6%) Trionyx triunguis, and 6 individuals (2%) were unidentified. The mean annual stranding values over the years were 10.5 (ranging from 6 to 22) and 7.9 individuals (ranging from 4 to 21) for C. mydas and C. caretta, respectively. Although the adult green turtles were less stranded, sub-adult and adult stages of the loggerhead turtles were intensively stranded. As the body size of the stranded green turtle has slightly increased, the number of stranded green turtles has decreased over the years. Stranding of loggerhead turtles showed no trend in frequency or body size. The causes of death showed significant differences between the two species as well as among the years. Fishing activities and marine pollution is the main cause of strandings on Samandag Beach. Oceanic and sub-adult stage individuals were stranded in especially high numbers due to plastic materials. Adult stages in both sea turtle have less carapacial scute deviation. The present study contributes to the stranded data for both sea turtle species in the Mediterranean. Natal origins of the stranded sea turtles on Samandag Beach should be investigated and a stranding network system should be urgently established.</t>
  </si>
  <si>
    <t>10.6620/ZS.2018.57-53</t>
  </si>
  <si>
    <t>Sonmez, B</t>
  </si>
  <si>
    <t>Sonmez, Bektas</t>
  </si>
  <si>
    <t>ZOOLOGICAL STUDIES</t>
  </si>
  <si>
    <t>Stranded; Chelonia mydas; Caretta caretta; Samandag; Eastern Mediterranean</t>
  </si>
  <si>
    <t>CARAPACIAL SCUTE VARIATION; CARETTA-CARETTA; MARINE DEBRIS; CHELONIA-MYDAS; GREEN TURTLES; LOGGERHEAD TURTLES; INCIDENTAL CAPTURE; ITALIAN WATERS; MORTALITY; HATCHLINGS</t>
  </si>
  <si>
    <t>[Sonmez, Bektas] Cumhuriyet Univ, Susehri Timur Karabal Vocat Training Sch, TR-58600 Susehri, Sivas, Turkey</t>
  </si>
  <si>
    <t>Cumhuriyet University</t>
  </si>
  <si>
    <t>Sonmez, B (corresponding author), Cumhuriyet Univ, Susehri Timur Karabal Vocat Training Sch, TR-58600 Susehri, Sivas, Turkey.</t>
  </si>
  <si>
    <t>bektass@gmail.com</t>
  </si>
  <si>
    <t>Sonmez, Bektas/AAI-4611-2021</t>
  </si>
  <si>
    <t>Sonmez, Bektas/0000-0002-8190-409X</t>
  </si>
  <si>
    <t>BIODIVERSITY RESEARCH CENTER, ACAD SINICA</t>
  </si>
  <si>
    <t>TAIPEI</t>
  </si>
  <si>
    <t>128 ACADEMIA RODA, SECTION 2, NANKANG, TAIPEI, 11529, TAIWAN</t>
  </si>
  <si>
    <t>1021-5506</t>
  </si>
  <si>
    <t>1810-522X</t>
  </si>
  <si>
    <t>ZOOL STUD</t>
  </si>
  <si>
    <t>Zool. Stud.</t>
  </si>
  <si>
    <t>NOV 19</t>
  </si>
  <si>
    <t>HA9OB</t>
  </si>
  <si>
    <t>WOS:000450632300001</t>
  </si>
  <si>
    <t>INVESTIGATION OF BOTANICAL COMPOSITION, FEED VALUE, ORGANIC MATTER DIGESTIBILITY AND NET ENERGY LACTATION OF GRASS SILAGE AT EARLY MATURITY STAGE BY IN VIVO AND IN VITRO METHODS</t>
  </si>
  <si>
    <t>This study was carried out to determine botanical composition, nutritive value, organic matter digestibility (OMD) and net energy lactation (NEL) of grass ensiled at early (early maturity, first cut) stage of maturity. In vivo and in vitro (gas test) methods were both used. The feed material of the study was taken from the producers in three different regions of (Arisu, Edremit, Kurubas) Van province at the first cutting period (1 June). Approximately 1000 kg of grass was cut from each pasture with a mower. It was kept in plastic bins, closed tightly and turned upside down until the day the silos were opened. In addition, 0.25-m(2) areas were cut, divided into species when wet, and the rate of participation of species in yield was calculated. Chemical analyses and in vivo and in vitro (gas test) experiments were conducted on the silage which was opended on the 60th day after it had been ensiled. According to the analysis; silages obtained from Edremit, Kurubas and Arisu pastures contained 27.38%, 22.30%, 24.78%, of dry matter 9.51%, 14.76%, 14.27% of crude protein, respectively; in vivo OMD was found 70.70%, 79,17%, 55.85%, and in vitro OMD48 h was found 66.79%, 61.65%, 61.15%, respectively. At the same time, the correlation between in vivo OMD and in vitro OMD48 hour was found R-2 0.99. It has been determined that Gramineae family is the dominant plant population in the pastures of Van province. In conclusion, it has been evaluated that grass ensiled at early maturity (first cut) stage increased organic matter digestibility of silages.</t>
  </si>
  <si>
    <t>10.15666/aeer/2006_52375249</t>
  </si>
  <si>
    <t>Gul, S</t>
  </si>
  <si>
    <t>Gul, S.</t>
  </si>
  <si>
    <t>digestibility; grass; silage; maturity; gas test; lactic acid</t>
  </si>
  <si>
    <t>LACTIC-ACID BACTERIA; GAS-PRODUCTION; CHEMICAL-COMPOSITION; METHANE PRODUCTION; NITROGEN-FERTILIZATION; FERMENTATION QUALITY; RUMINAL FERMENTATION; NUTRITIONAL QUALITY; FORMIC-ACID; ADDITIVES</t>
  </si>
  <si>
    <t>[Gul, S.] Namik Kemal Univ, Vocat Sch Tech Sci Plant &amp; Anim Prod Dept, TR-59030 Tekirdag, Turkey</t>
  </si>
  <si>
    <t>Gul, S (corresponding author), Namik Kemal Univ, Vocat Sch Tech Sci Plant &amp; Anim Prod Dept, TR-59030 Tekirdag, Turkey.</t>
  </si>
  <si>
    <t>sgul@nku.edu.tr</t>
  </si>
  <si>
    <t>Duman, Muhammet/A-4462-2018; GÜL, Sevilay/HJI-0439-2023</t>
  </si>
  <si>
    <t>Duman, Muhammet/0000-0002-4771-9675; GÜL, Sevilay/0000-0002-5695-1089</t>
  </si>
  <si>
    <t>Scientific and Technological Research Council of Turkey (TUBITAK) foundation Turkey [VHAG-1849 (101V140)]; Scientific and Technological Research Council of Turkey (TUBITAK)</t>
  </si>
  <si>
    <t>Scientific and Technological Research Council of Turkey (TUBITAK) foundation Turkey(Turkiye Bilimsel ve Teknolojik Arastirma Kurumu (TUBITAK)); Scientific and Technological Research Council of Turkey (TUBITAK)(Turkiye Bilimsel ve Teknolojik Arastirma Kurumu (TUBITAK))</t>
  </si>
  <si>
    <t>This work was supported by the Scientific and Technological Research Council of Turkey (TUBITAK) VHAG-1849 (101V140) foundation Turkey. The authors would like to thanks for this financial support of the Scientific and Technological Research Council of Turkey (TUBITAK). The author would like to thank Nasip Demirkus for the analysis of botanical and floristic composition of pastures.</t>
  </si>
  <si>
    <t>ALOKI Applied Ecological Research and Forensic Inst Ltd</t>
  </si>
  <si>
    <t>Budapest</t>
  </si>
  <si>
    <t>Kassa u. 118, Budapest, HUNGARY</t>
  </si>
  <si>
    <t>I4TF6</t>
  </si>
  <si>
    <t>WOS:000891236400001</t>
  </si>
  <si>
    <t>The effects of the size of liposuction cannula on adipocyte survival and the optimum temperature for fat graft storage: an experimental study</t>
  </si>
  <si>
    <t>Background: Determining the most advantageous size of liposuction cannula and injection needles in terms of adipocyte viability could help to increase fat graft survival. When recurrent injections are necessary, storing fat tissue which is harvested during the first operation could be a practical solution if it is stored at an appropriate temperature providing the highest amount of viable fat cells. Methods: Fat tissue was removed from the abdomen of 10 consecutive female patients by 6-, 4- and 2-mm-diameter liposuction cannulas. Fat tissue harvested with the 6 mm cannula was injected through 14, 16 and 20 g needles and collected in separate tubes. An additional three tubes of fat samples were prepared from fat tissue obtained with the 6 mm cannula to be stored at +4, -20 and -80 degrees C for 2 weeks. Viability of the fat grafts was evaluated by fat cell isolation with collagenase digestion and staining with supravital dye and counting adipocytes with a haemocytometer. Results: The viability of fat grafts harvested with the 6 mm cannula was higher than grafts obtained with smaller cannulas. The viability of fat grafts injected through 14, 16 and 20 g needles were similar to each other. The viability of fat grafts stored at +4 degrees C was similar to fresh tissue whereas freezing fat grafts caused significant toss of viable adipocytes compared to fresh tissue. Conclusions: The use of larger liposuction cannulas for fat tissue harvesting provides more viable fat grafts. A temperature of +4 degrees C could be proposed as an effective and easily available way of storing fat grafts for at least 2 weeks. (C) 2008 British Association of Plastic, Reconstructive and Aesthetic Surgeons. Published by Elsevier Ltd. All. rights reserved.</t>
  </si>
  <si>
    <t>10.1016/j.bjps.2008.03.016</t>
  </si>
  <si>
    <t>Erdim, M; Tezel, E; Numanoglu, A; Sav, A</t>
  </si>
  <si>
    <t>Erdim, Melike; Tezel, Erdem; Numanoglu, Ayhan; Sav, Aydin</t>
  </si>
  <si>
    <t>Fat grafts; Liposuction cannula size; Temperature of storage</t>
  </si>
  <si>
    <t>ADIPOSE-TISSUE; AUTOLOGOUS FAT; SUCTION LIPECTOMY; TRANSPLANTATION; INJECTION; VIABILITY; EXPERIENCE; LIPOLYSIS; SYRINGE; HARVEST</t>
  </si>
  <si>
    <t>[Erdim, Melike; Tezel, Erdem; Numanoglu, Ayhan] Marmara Univ, Sch Med, Dept Plast &amp; Reconstruct Surg, TR-34349 Istanbul, Turkey; [Sav, Aydin] Marmara Univ, Sch Med, Dept Pathol, TR-34349 Istanbul, Turkey</t>
  </si>
  <si>
    <t>Marmara University; Marmara University</t>
  </si>
  <si>
    <t>Erdim, M (corresponding author), Marmara Univ, Sch Med, Dept Plast &amp; Reconstruct Surg, TR-34349 Istanbul, Turkey.</t>
  </si>
  <si>
    <t>ermelike@yahoo.com</t>
  </si>
  <si>
    <t>SAV, Aydin/ABI-3989-2020</t>
  </si>
  <si>
    <t>SAV, Aydin/0000-0002-7326-7801</t>
  </si>
  <si>
    <t>498SE</t>
  </si>
  <si>
    <t>WOS:000270162600017</t>
  </si>
  <si>
    <t>The determination of qualities in different whole-plant silages among hybrid maize cultivars</t>
  </si>
  <si>
    <t>This study was conducted in order to determine the effects of 12 maize hybrids (Goldeclat, Falkner, Maverik, Tivak 6661, Tivak 678, Bora, Consur, DK 626, Ada 9510, Pioneer 3167, TTM 815, and LG 55) on the nutrient composition (that is, dry matter - DM, crude ash - CA, organic matter - OM, crude protein - CP, ether extract - EE, crude fiber - CF), pH, Fleig point (FP) values, and the mineral contents of maize silages. The maize hybrids were harvested at the milk-line maturity stage and ensiled as whole plant in 5-L plastic jars without additives. The jars were stored at 25 +/- 2 degrees C under standard laboratory conditions. the silages were uncovered and sampled for chemical analyses 60 days after they were ensilaged. There were statistically significant differences among maize hybrid silages for DM, CA, OM, CP, EE, CF contents, pH, and FP values (P&lt;0.05). The DM content of silages were ranged from 25.67% in LG 55 to 32.41% in Falkner; CP (4.07% in Bora and LG 55 to 6.91% in Tivak 678); CA (4.64% in Maverik to 7.94% in LG 55); OM (17.07% in LG 55 to 27.64% in Falkner); EE (2.68% in DK 626 to 4.40% in Tivak 678); CF (17.96% in Pioneer 3167 to 27.28% in TTM 815); pH value (3.76 in TTM 815 to 4.05 in Pioneer 3167); FP (95.68 in LG 55 to 112.64 in Consur). The result of the study indicated that fermentation characteristics and nutrient contents were affected by the hybrids that were studied. However, there were no significant differences among dry matter mineral contents for As, B, Cr, Fe, Sn, Cu, Mn, and Zn (P&gt;0.05); but there were significant differences among hybrids for Al (P&lt;0.05).</t>
  </si>
  <si>
    <t>10.5897/AJAR11.1249</t>
  </si>
  <si>
    <t>Demirel, R; Akdemir, F; Saruhan, V; Demirel, DS; Akinci, C; Aydin, F</t>
  </si>
  <si>
    <t>Demirel, Ramazan; Akdemir, Fatih; Saruhan, Veysel; Demirel, Dilek Senturk; Akinci, Cuma; Aydin, Firat</t>
  </si>
  <si>
    <t>AFRICAN JOURNAL OF AGRICULTURAL RESEARCH</t>
  </si>
  <si>
    <t>Maize; nutrient; quality criteria; roughage; silage mineral content</t>
  </si>
  <si>
    <t>CORN-SILAGE; NUTRITIVE-VALUE; FEED-INTAKE; ACID; PERFORMANCE; DEGRADATION; DIGESTION; MATURITY; NDF</t>
  </si>
  <si>
    <t>[Demirel, Ramazan; Demirel, Dilek Senturk] Dicle Univ, Dept Anim Sci, TR-21280 Diyarbakir, Turkey; [Akdemir, Fatih] Dicle Univ, Fac Vet Med, Dept Anim Nutr &amp; Nutr Dis, TR-21280 Diyarbakir, Turkey; [Saruhan, Veysel; Akinci, Cuma] Dicle Univ, Fac Agr, Dept Field Crops, TR-21280 Diyarbakir, Turkey; [Aydin, Firat] Dicle Univ, Fac Sci, Dept Chem, TR-21280 Diyarbakir, Turkey</t>
  </si>
  <si>
    <t>Dicle University; Dicle University; Dicle University; Dicle University</t>
  </si>
  <si>
    <t>Demirel, R (corresponding author), Dicle Univ, Dept Anim Sci, TR-21280 Diyarbakir, Turkey.</t>
  </si>
  <si>
    <t>ramazand@dicle.edu.tr</t>
  </si>
  <si>
    <t>Akdemir, Fatih/AAG-8010-2019; DEMİREL, Ramazan/GYT-9852-2022; AKINCI, CUMA/ABC-2889-2020</t>
  </si>
  <si>
    <t xml:space="preserve">Akdemir, Fatih/0000-0002-5779-6631; </t>
  </si>
  <si>
    <t>1991-637X</t>
  </si>
  <si>
    <t>AFR J AGR RES</t>
  </si>
  <si>
    <t>Afr. J. Agric. Res.</t>
  </si>
  <si>
    <t>OCT 26</t>
  </si>
  <si>
    <t>Agriculture, Multidisciplinary</t>
  </si>
  <si>
    <t>872CN</t>
  </si>
  <si>
    <t>WOS:000298784800013</t>
  </si>
  <si>
    <t>Effects of different nitrogen doses and cultivars on fermentation quality and nutritive value of Italian ryegrass (Lolium multiflorum Lam.) silages</t>
  </si>
  <si>
    <t>Objective: The fermentation profile and silage quality of 3 Italian ryegrass (Lolium multiflorum Lam.) cultivars (cvs. Devis, Hellen, and Trinova) treated with 5 nitrogen doses (0, 50, 100, 150, and 200 kg/ha) were evaluated. Methods: The experiment was laid out in split plot in randomized complete block design with three replications. Annual ryegrass cultivars used in this study have been commonly grown in Turkey. Nitrogen doses were set in main plot and cultivars in split plot in the field. Plants were harvested at full-flowering stage with dry matter content about 220 g/kg for first cutting and 260 g/kg for second cutting. Harvested plants were chopped theoretically into 2 to 3 cm lengths for ensiling. Chopped fresh materials were ensilaged by compressing in 2 L plastic jars about 3 +/- 0.1 kg. Results: Effects of N doses on dry matter, neutral detergent fiber, acid detergent fiber, dry matter digestibility, relative feed value, crude protein, pH, ammonia nitrogen, lactic acid, acetic acid, and lactic acid/acetic acid were statistically significant while water soluble carbohydrate, ash and organic matter were not statistically different. Ammonia nitrogen, crude protein, ash, organic matter, lactic acid, and lactic acid/acetic acid were affected by cultivars, but the other parameters were not. Increasing nitrogen applications positively affected the chemical composition of annual ryegrass silage. The significant increase in protein content was remarkable, however, silage fermentation properties were adversely affected by the increasing nitrogen dose. Conclusion: It can be recommended 150 kg/ha nitrogen dose for annual ryegrass harvested at full blooming stage. Even though the silage fermentation properties of the used cultivars were similar, cv. Devis gave better results than the others in terms of silage pH and relative feed value.</t>
  </si>
  <si>
    <t>10.5713/ab.21.0113</t>
  </si>
  <si>
    <t>Ertekin, I; Atis, I; Aygun, YZ; Yilmaz, S; Kizilsimsek, M</t>
  </si>
  <si>
    <t>Ertekin, Ibrahim; Atis, Ibrahim; Aygun, Yusuf Ziya; Yilmaz, Saban; Kizilsimsek, Mustafa</t>
  </si>
  <si>
    <t>ANIMAL BIOSCIENCE</t>
  </si>
  <si>
    <t>Annual Ryegrass; Fermentation Quality; Nitrogen Fertilizer; Nutritive Value; Silage</t>
  </si>
  <si>
    <t>IN-VITRO DIGESTIBILITY; FORAGE YIELD; DEGRADATION CHARACTERISTICS; HERBAGE; STAGE; FERTILIZER; MATURITY; PROTEIN; VARIETY; L.</t>
  </si>
  <si>
    <t>[Ertekin, Ibrahim; Atis, Ibrahim; Aygun, Yusuf Ziya; Yilmaz, Saban] Hatay Mustafa Kemal Univ, Dept Field Crops, Fac Agr, TR-31060 Antakya, Turkey; [Kizilsimsek, Mustafa] Kahramanmaras Sutcu Imam Univ, Dept Field Crops, Fac Agr, TR-46040 Kahramanmaras, Turkey</t>
  </si>
  <si>
    <t>Mustafa Kemal University; Kahramanmaras Sutcu Imam University</t>
  </si>
  <si>
    <t>Ertekin, I (corresponding author), Hatay Mustafa Kemal Univ, Dept Field Crops, Fac Agr, TR-31060 Antakya, Turkey.</t>
  </si>
  <si>
    <t>ibrahimertekin@mku.edu.tr</t>
  </si>
  <si>
    <t>ertekin, ibrahim/X-5883-2018; Atiş, İbrahim/AFT-2250-2022; AYGUN, YUSUF ZIYA/A-5460-2019</t>
  </si>
  <si>
    <t>KIZILSIMSEK, MUSTAFA/0000-0002-0295-0603; AYGUN, YUSUF ZIYA/0000-0001-9842-006X; ATIS, IBRAHIM/0000-0002-0510-9625; ertekin, ibrahim/0000-0003-1393-8084</t>
  </si>
  <si>
    <t>2765-0189</t>
  </si>
  <si>
    <t>2765-0235</t>
  </si>
  <si>
    <t>ANIM BIOSCI</t>
  </si>
  <si>
    <t>Anim. Biosci.</t>
  </si>
  <si>
    <t>XY6BI</t>
  </si>
  <si>
    <t>WOS:000737054900005</t>
  </si>
  <si>
    <t>Fe2O3-modified graphene oxide mitigates nanoplastic toxicity via regulating gas exchange, photosynthesis, and antioxidant system in Triticum aestivum</t>
  </si>
  <si>
    <t>The ever-increasing plastic pollution in soil and water resources raises concerns about its effects on terrestrial plants and agroecosystems. Although there are many reports about the contamination with nanoplastics on plants, the presence of magneto-assisted nanomaterials enabling the removal of their adverse impacts still re-mains unclear. Therefore, the purpose of the current study is to evaluate the potential of nanomaterial Fe2O3- modified graphene oxide (FGO, 50-250 mg L-1) to eliminate the adverse effects of nanoplastics in plants. Wheat plants exposed to polystyrene nanoplastics concentrations (PS, 10, 50 and 100 mg L-1) showed decreased growth, water content and loss of photosynthetic efficiency. PS toxicity negatively altered gas exchange, antenna structure and electron transport in photosystems. Although the antioxidant system was partially activated (only superoxide dismutase (SOD), NADPH oxidase (NOX) and glutathione reductase (GR)) in plants treated with PS, it failed to prevent PS-triggered oxidative damage, as showing lipid peroxidation and hydrogen peroxide (H2O2) levels. FGOs eliminated the adverse impacts of PS pollution on growth, water status, gas exchange and oxidative stress markers. In addition, FGOs preserve the biochemical reactions of photosynthesis by actively increasing chlorophyll fluorescence parameters in the stressed-wheat leaves. The activities of all enzymatic antioxidants increased, and the H2O2 and TBARS contents decreased. GSH-mediated detoxifying antioxidants such as gluta-thione S-transferase (GST) and glutathione peroxidase (GPX) were stimulated by FGOs against PS pollution. FGOs also triggered the enzymes and non-enzymes related to the Asada-Halliwell cycle and protected the regeneration of ascorbate (AsA) and glutathione (GSH). Our findings indicated that FGO had the potential to mitigate nanoplastic-induced damage in wheat by regulating water relations, protecting photosynthesis reactions and providing efficient ROS scavenging with high antioxidant capacity. This is the first report on removing PS -induced damage by FGO applications in wheat leaves.</t>
  </si>
  <si>
    <t>10.1016/j.chemosphere.2022.136048</t>
  </si>
  <si>
    <t>Arikan, B; Alp, FN; Ozfidan-Konakci, C; Balci, M; Elbasan, F; Yildiztugay, E; Cavusoglu, H</t>
  </si>
  <si>
    <t>Arikan, Busra; Alp, Fatma Nur; Ozfidan-Konakci, Ceyda; Balci, Melike; Elbasan, Fevzi; Yildiztugay, Evren; Cavusoglu, Halit</t>
  </si>
  <si>
    <t>Antioxidant system; Redox homeostasis; Polystyrene nanoplastics; Triticum aestivum</t>
  </si>
  <si>
    <t>NADPH OXIDASE; STRESS; GROWTH; PEROXIDASE; NANOPARTICLES; ACCUMULATION; CHLOROPHYLL; INDUCTION; CADMIUM; ROOTS</t>
  </si>
  <si>
    <t>[Arikan, Busra; Alp, Fatma Nur; Balci, Melike; Elbasan, Fevzi; Yildiztugay, Evren] Selcuk Univ, Fac Sci, Dept Biotechnol, TR-42130 Konya, Turkey; [Ozfidan-Konakci, Ceyda] Necmettin Erbakan Univ, Fac Sci, Dept Mol Biol &amp; Genet, Meram, TR-42090 Konya, Turkey; [Cavusoglu, Halit] Selcuk Univ, Fac Sci, Dept Phys, TR-42130 Selcuklu, Konya, Turkey</t>
  </si>
  <si>
    <t>Selcuk University; Necmettin Erbakan University; Selcuk University</t>
  </si>
  <si>
    <t>busra.arikan@selcuk.edu.tr; fatmanur.alp@selcuk.edu.tr; cozfidan@erbakan.edu.tr; melikebalci9618@gmail.com; fevzi.elba@gmail.com; eytugay@selcuk.edu.tr; hcavusoglu@selcuk.edu.tr</t>
  </si>
  <si>
    <t>Arikan, Busra/L-6055-2016; YILDIZTUGAY, EVREN/AEP-8812-2022</t>
  </si>
  <si>
    <t>Arikan, Busra/0000-0001-5313-0501; YILDIZTUGAY, EVREN/0000-0002-4675-2027</t>
  </si>
  <si>
    <t>Selcuk University Scientific Research Projects Coordinating Office;  [21401112]</t>
  </si>
  <si>
    <t xml:space="preserve">Selcuk University Scientific Research Projects Coordinating Office(Selcuk University); </t>
  </si>
  <si>
    <t>This work was supported by Selcuk University Scientific Research Projects Coordinating Office (Grant Number: 21401112) . We would like to thank Nazife Tugba ELBASAN for her contributions to the graphical abstract design.</t>
  </si>
  <si>
    <t>5B6PM</t>
  </si>
  <si>
    <t>WOS:000863689800001</t>
  </si>
  <si>
    <t>Can the ceramic industry be a new and hazardous sector for work-related asthma?</t>
  </si>
  <si>
    <t>Background: Work-related asthma (WRA) constitutes a significant proportion of all asthma cases and continues to be reported from different industries. The aim of the study was to identify the occupations that can be related to WRA and diagnostic steps used in suspected WRA patients. Methods: We retrospectively reviewed the clinical records of WRA suspected patients who were referred to Ankara Occupational and Environmental Diseases Hospital, Turkey from January 2015 to January 2017. Detailed occupational history, the diagnostic steps such as pulmonary function testing (PFT), peak expiratory flow (PEF) monitoring and nonspecific bronchial provocation tests (NSBPT) were recorded. Results: Among 160 patients, 148 were male and 12 were female. Only 2 of them were diagnosed as work-exacerbated asthma (WEA). Diagnosis of asthma was based on using reversible airflow limitation 28.8% (n = 46) or NSBPT 31.9% (n = 51). Toxicological analysis showed that 28 patients had heavy metal poisoning, 9 patients had solvent poisoning, 4 patients had both. According to occupations, 32 of them were ceramic workers (20.0%) and 27 of them were metal workers (16.9%). Plastic workers (4 +/- 2.8 years), cleaners (6.2 +/- 5.7 years), metal workers (7.4 +/- 5.4 years), painters (10 +/- 5.2 years), ceramic workers (10.8 +/- 5.9 years) had the shortest exposure durations for development of occupational asthma (OA). An analysis of variance showed that the effect of heavy metal and solvent poisoning on mean time for onset of OA was not significant. Conclusions: The results demonstrate that besides the sectors known to cause WRA, ceramic and metal industries can be related to important exposures related to WRA. Medical surveillance of employees in this sector is important in early detection.</t>
  </si>
  <si>
    <t>10.1016/j.rmed.2018.03.012</t>
  </si>
  <si>
    <t>Kurt, OK; Ergun, D; Basaran, N</t>
  </si>
  <si>
    <t>Kurt, Ozlem Kar; Ergun, Dilek; Basaran, Nursen</t>
  </si>
  <si>
    <t>RESPIRATORY MEDICINE</t>
  </si>
  <si>
    <t>Work-related asthma; Occupational asthma; Ceramic sector; Metal industry</t>
  </si>
  <si>
    <t>OCCUPATIONAL ASTHMA; CONSENSUS STATEMENT; EXACERBATED ASTHMA; MANAGEMENT; DIAGNOSIS; TRENDS</t>
  </si>
  <si>
    <t>[Kurt, Ozlem Kar] Hacettepe Univ, Fac Med, Dept Internal Med, Div Occupat Med, TR-06100 Ankara, Turkey; [Ergun, Dilek] Occupat &amp; Environm Dis Hosp, Dept Pulm Med, Ankara, Turkey; [Basaran, Nursen] Hacettepe Univ, Fac Pharm, Dept Pharmaceut Toxicol, Ankara, Turkey</t>
  </si>
  <si>
    <t>Kurt, OK (corresponding author), Hacettepe Univ, Fac Med, Dept Internal Med, Div Occupat Med, TR-06100 Ankara, Turkey.</t>
  </si>
  <si>
    <t>okarkurt@gmail.com</t>
  </si>
  <si>
    <t>Başaran, Nurşen/J-1104-2013; Kurt, Ozlem Kar/B-7142-2016</t>
  </si>
  <si>
    <t>Başaran, Nurşen/0000-0001-8581-8933; Kurt, Ozlem Kar/0000-0002-4641-2866</t>
  </si>
  <si>
    <t>W B SAUNDERS CO LTD</t>
  </si>
  <si>
    <t>32 JAMESTOWN RD, LONDON NW1 7BY, ENGLAND</t>
  </si>
  <si>
    <t>0954-6111</t>
  </si>
  <si>
    <t>1532-3064</t>
  </si>
  <si>
    <t>RESP MED</t>
  </si>
  <si>
    <t>Respir. Med.</t>
  </si>
  <si>
    <t>Cardiac &amp; Cardiovascular Systems; Respiratory System</t>
  </si>
  <si>
    <t>Cardiovascular System &amp; Cardiology; Respiratory System</t>
  </si>
  <si>
    <t>GB1EO</t>
  </si>
  <si>
    <t>WOS:000428794100025</t>
  </si>
  <si>
    <t>Heavy metal contamination of surface soil around Gebze industrial area, Turkey</t>
  </si>
  <si>
    <t>An increase in heavy metal pollution in the soils of Gebze (Turkey) due to intense industrialization and urbanization has become a serious environmental problem. There are two large organized industrial zones in Gebze; the Gebze Organized Industrial Zone (GOIZ) and the Dilovasi Organized Industrial Zone (DOIZ). The region hosts several industrial facilities which are the main source for hazardous wastes which include paint, plastic, electric, metal, textile, wood, automotive supply industry, food, cosmetics, packing, machinery, and chemicals. Soil samples were collected from these two industrial zones and analyzed for their metal contents. Results of the analysis show that the soils are characterized by high concentrations of Cd, As, Pb, Zn, Mn, Cu, Cr and Hg. Since concentrations of other elements do not exceed the permissible levels, they are not evaluated. Concentrations are 0.05-176 mg/kg of Cd, 10-1161 mg/kg of Cr, 7.87-725 mg/kg of Cu, 1.50-65.60 mg/kg of As, 17.07-8469 mg/kg of Pb, 1.96-10,000 mg/kg of Mn, 29.5-10,000 mg/kg of Zn, and 9-2721 mu g/kg of Hg. Application of factor, cluster and correlation analysis showed that heavy metal contamination in soils originates from industrial activities and heavy traffic which are of anthropogenic origin. Contaminations in soils were classified as geoaccumulation index, enrichment factor, contamination factor, and contamination degree. Integrated pollution index (IPI) values indicate that heavy metal pollution levels of soils collected from industrialization sites are greater than those from distal parts of industrialization. Spreading of hazardous wastes from industrial facilities in the study area via rain or wind is the main source of soil pollution. In addition, traffic-related metal pollution is also observed. (C) 2011 Elsevier B.V. All rights reserved.</t>
  </si>
  <si>
    <t>10.1016/j.microc.2011.04.004</t>
  </si>
  <si>
    <t>Yaylali-Abanuz, G</t>
  </si>
  <si>
    <t>Yaylali-Abanuz, Gulten</t>
  </si>
  <si>
    <t>MICROCHEMICAL JOURNAL</t>
  </si>
  <si>
    <t>Heavy metal contamination; Industrial areas; Gebze; Turkey</t>
  </si>
  <si>
    <t>TRACE-ELEMENTS; POLLUTION; ENRICHMENT; TRANSPORT; MERCURY</t>
  </si>
  <si>
    <t>Karadeniz Tech Univ, Dept Geol Engn, TR-61080 Trabzon, Turkey</t>
  </si>
  <si>
    <t>Yaylali-Abanuz, G (corresponding author), Karadeniz Tech Univ, Dept Geol Engn, TR-61080 Trabzon, Turkey.</t>
  </si>
  <si>
    <t>gultenyaylali@yahoo.com</t>
  </si>
  <si>
    <t>ABANUZ, Gülten YAYLALI/AAN-8012-2021</t>
  </si>
  <si>
    <t>ABANUZ, Gülten YAYLALI/0000-0003-0059-3013</t>
  </si>
  <si>
    <t>Scientific Research Project Commission of Karadeniz Technical University</t>
  </si>
  <si>
    <t>Scientific Research Project Commission of Karadeniz Technical University(Karadeniz Technical University)</t>
  </si>
  <si>
    <t>Chemical analyses were conducted at the Acme Laboratories in Canada. This study was financially supported by the Scientific Research Project Commission of Karadeniz Technical University.</t>
  </si>
  <si>
    <t>0026-265X</t>
  </si>
  <si>
    <t>1095-9149</t>
  </si>
  <si>
    <t>MICROCHEM J</t>
  </si>
  <si>
    <t>Microchem J.</t>
  </si>
  <si>
    <t>788FR</t>
  </si>
  <si>
    <t>WOS:000292431300013</t>
  </si>
  <si>
    <t>Influence of clay surface modification on morphology and rheology of polyethylene glycol/montmorillonite nanocomposites</t>
  </si>
  <si>
    <t>The effects of surface modification of Na-montmorillonite (Na-MMT) on morphology and the theological properties of polyethylene glycol/organoclay nanocomposites are investigated. Dodecyltrimethyiammonium bromide (DTABr) is used to modify the clay surface. Adsorption of DTABr on Na-MMT is monitored by zeta potential measurements. From zeta potential measurements, three DTABr concentrations, 1 x 10(-3), 7.5 x 10(-3), and 5 x 10(-2) mol/L, are chosen to fabricate the polyethylene glycol/organoclay composites. The morphology of three sets of organoclays (OMMT1, OMMT2, and OMMT3) is studied by X-ray diffraction (XRD) technique. The increase of basal spacing is found to be 0.2 nm as the DTABr concentration is increased to 7.5 x 10-3 mol/L. The rheological properties of polyethylene glycol (PEG)/organoclay nanocomposites are studied for three organoclays at different PEG concentrations. All nanocomposites show Bingham plastic flow behavior. The OMMT3 shows maximum viscoelastic properties in the polymer matrix. The morphology and electrokinetic properties of the PEG/organoclay nanocomposites are also investigated.</t>
  </si>
  <si>
    <t>10.1177/0021998306068089</t>
  </si>
  <si>
    <t>Isci, S; Gungor, N; Alemdar, A; Ece, OI</t>
  </si>
  <si>
    <t>Isci, Sevim; Gungor, Nurfer; Alemdar, Ayse; Ece, O. Isik</t>
  </si>
  <si>
    <t>JOURNAL OF COMPOSITE MATERIALS</t>
  </si>
  <si>
    <t>montmorillonite; organoclay; polymer/organoclay composites; rheology; zeta potential; viscoelasticity</t>
  </si>
  <si>
    <t>Univ Toronto, Fac Forestry, Toronto, ON M5S 3B3, Canada; Istanbul Tech Univ, Fac Sci &amp; Letters, Dept Phys, TR-34469 Istanbul, Turkey; Istanbul Tech Univ, Dept Geol, Fac Mines, TR-34469 Istanbul, Turkey</t>
  </si>
  <si>
    <t>University of Toronto; Istanbul Technical University; Istanbul Technical University; Ministry of Energy &amp; Natural Resources - Turkey</t>
  </si>
  <si>
    <t>Alemdar, A (corresponding author), Univ Toronto, Fac Forestry, 33 Willcocks St, Toronto, ON M5S 3B3, Canada.</t>
  </si>
  <si>
    <t>ayse.alemdar@utoronto.ca</t>
  </si>
  <si>
    <t>Alemdar, Ayse/ABB-3774-2020; Isci, Sevim/AAC-6865-2021</t>
  </si>
  <si>
    <t>Isci, Sevim/0000-0002-6049-5397</t>
  </si>
  <si>
    <t>0021-9983</t>
  </si>
  <si>
    <t>1530-793X</t>
  </si>
  <si>
    <t>J COMPOS MATER</t>
  </si>
  <si>
    <t>J. Compos Mater.</t>
  </si>
  <si>
    <t>192TK</t>
  </si>
  <si>
    <t>WOS:000248225700008</t>
  </si>
  <si>
    <t>Evaluation of different sponge types on the survival and infectivity of stored entomopathogenic nematodes</t>
  </si>
  <si>
    <t>Sponges are one of the cheapest and most suitable substrates used to formulate and/or store the infective juveniles (IJs) of entomopathogenic nematodes (EPNs). Our study investigated the survival and infectivity of the IJs on five different sponges compared to that in an aqueous suspension (control). The sponges were Oasis (R) floral, Nanosponge, ScotchbriteTM, or Lysol (R) and natural sea sponge. EPN species tested were Heterorhabditis bacteriophora, Steinernema carpocapsae and S. feltiae. The recovery efficiency of the IJs from sponges was initially assessed. Subsequently, IJs were stored in the sponges and placed in plastic bags or Falcon tubes and incubated at 10 degrees or 27 degrees C for 8 months or 11 weeks, respectively. IJ survival and infectivity were monitored monthly for the 10 degrees C and weekly for 27 degrees C in these sponge types. The IJs were recovered from the sponges, and their survival was based on observing their movement under a dissecting microscope, and infectivity was based on larval mortality in Galleria mellonella. Recovery efficiency of IJs was best for the Oasis floral sponge for all nematode species ranging between 83 and 91%. The survival and infectivity of stored IJs in all sponge types and control for both 10 degrees and 27 degrees C gradually decreased over time. IJs stored in Scotchbrite, Lysol, and Nanosponge had the best survival and infectivity, whereas Oasis floral and natural sea sponges showed the poorest results. After 8 months at 10 degrees C in plastic bags, the survival ratio of all IJs in these three sponges (Scotchbrite, Lysol, and Nanosponge) was approximately 55%. IJs in Scotchbrite and Nanosponge were also able to survive and retain their infectivity at 27 degrees C for 3 months. IJs stored in Falcon tubes had survival that ranged from 26 to 53% at 27 degrees C and 55 to 77% at 10 degrees C. H. bacteriophora IJs lost their infectivity when stored at 27 degrees C after 10 weeks. However, S. carpocapsae and S. feltiae exhibited 85% infectivity when stored in Scotchbrite and 50% in Nanosponge, respectively. Overall, sponges made from polyurethane (Scotchbrite) followed by melamine (Nanosponge) and cellulose (Lysol) are recommended for long-term nematode storage and transportation of nematode samples. However, Oasis floral sponge may be preferred for short-term IJ formulation for field applications because of easier recovery of IJs.</t>
  </si>
  <si>
    <t>10.1016/j.jip.2020.107332</t>
  </si>
  <si>
    <t>Touray, M; Gulcu, B; Ulug, D; Gulsen, SH; Cimen, H; Kaya, HK; Cakmak, I; Hazir, S</t>
  </si>
  <si>
    <t>Touray, Mustapha; Gulcu, Baris; Ulug, Derya; Gulsen, Sebnem H.; Cimen, Harun; Kaya, Harry K.; Cakmak, Ibrahim; Hazir, Selcuk</t>
  </si>
  <si>
    <t>JOURNAL OF INVERTEBRATE PATHOLOGY</t>
  </si>
  <si>
    <t>Entomopathogenic nematodes; Heterorhabditis; Steinernema; Formulation; Biological control; Storage</t>
  </si>
  <si>
    <t>LONG-TERM STORAGE; STEINERNEMA-FELTIAE; FORMULATION; RHABDITIDA; NEOAPLECTANA</t>
  </si>
  <si>
    <t>[Touray, Mustapha; Ulug, Derya; Gulsen, Sebnem H.; Cimen, Harun; Hazir, Selcuk] Adnan Menderes Univ, Fac Arts &amp; Sci, Dept Biol, Aydin, Turkey; [Gulcu, Baris] Duzce Univ, Fac Arts &amp; Sci, Dept Biol, Duzce, Turkey; [Kaya, Harry K.] Univ Calif Davis, Dept Entomol &amp; Nematol, One Shields Ave, Davis, CA 95616 USA; [Cakmak, Ibrahim] Adnan Menderes Univ, Fac Agr, Dept Plant Protect, Aydin, Turkey</t>
  </si>
  <si>
    <t>Adnan Menderes University; Duzce University; University of California System; University of California Davis; Adnan Menderes University</t>
  </si>
  <si>
    <t>Hazir, S (corresponding author), Adnan Menderes Univ, Fac Arts &amp; Sci, Dept Biol, Aydin, Turkey.</t>
  </si>
  <si>
    <t>selcuk.hazir@gmail.com</t>
  </si>
  <si>
    <t>Cimen, Harun/AAA-9368-2022; ULUG, Derya/GLR-5881-2022; TOURAY, Mustapha/AAP-3193-2020</t>
  </si>
  <si>
    <t>Cimen, Harun/0000-0002-0106-4183; TOURAY, Mustapha/0000-0002-9550-0782; Cakmak, Ibrahim/0000-0003-1903-3913; Hazir, Selcuk/0000-0001-9298-1472; GULSEN, Sebnem Hazal/0000-0001-6981-7025</t>
  </si>
  <si>
    <t>Aydin Adnan Menderes University, Turkey [FEF-18036]; TUBITAK [106T587]</t>
  </si>
  <si>
    <t>Aydin Adnan Menderes University, Turkey; TUBITAK(Turkiye Bilimsel ve Teknolojik Arastirma Kurumu (TUBITAK))</t>
  </si>
  <si>
    <t>This study was supported by Aydin Adnan Menderes University, Turkey (Project number: FEF-18036) and TUBITAK (Project number: 106T587).</t>
  </si>
  <si>
    <t>0022-2011</t>
  </si>
  <si>
    <t>1096-0805</t>
  </si>
  <si>
    <t>J INVERTEBR PATHOL</t>
  </si>
  <si>
    <t>J. Invertebr. Pathol.</t>
  </si>
  <si>
    <t>LD2TP</t>
  </si>
  <si>
    <t>WOS:000525887600010</t>
  </si>
  <si>
    <t>Citizen Science and Environmental Protection Agencies: Engaging Citizens to Address Key Environmental Challenges</t>
  </si>
  <si>
    <t>Environmental Protection Agencies (EPAs) have been involved in citizen science initiatives for decades, engaging with citizens with the goal of protecting and restoring our environment. Yet the data and knowledge generated and the possibilities for engaging citizens have grown significantly in the last decades thanks to the recent developments in mobile technologies and the access to internet, resulting in a transformation of how environmental protection can be done. This perspective provides some examples on how European EPAs and their partners are currently addressing key environmental challenges and exploring new institutional approaches by bringing in citizen science data and methods. It also points out challenges that need to be addressed to fully realize the potential of citizen science as a complement to the monitoring efforts by these agencies. Finally, it presents the Interest Group on Citizen Science of the Network of the Heads of Environmental Protection Agencies (EPA Network), an informal forum where EPAs across Europe share examples and bring together strategic insights on citizen science approaches into their daily activities.</t>
  </si>
  <si>
    <t>10.3389/fclim.2020.600998</t>
  </si>
  <si>
    <t>Rubio-Iglesias, JM; Edovald, T; Grew, R; Kark, T; Kideys, AE; Peltola, T; Volten, H</t>
  </si>
  <si>
    <t>Rubio-Iglesias, Jose Miguel; Edovald, Triin; Grew, Robert; Kark, Timo; Kideys, Ahmet Erkan; Peltola, Taru; Volten, Hester</t>
  </si>
  <si>
    <t>FRONTIERS IN CLIMATE</t>
  </si>
  <si>
    <t>environmental citizen science; environmental monitoring; environmental protection agency; biodiversity; air quality; marine litter; best practices; citizen engagement</t>
  </si>
  <si>
    <t>PLASTICS</t>
  </si>
  <si>
    <t>[Rubio-Iglesias, Jose Miguel] European Environm Agcy, Copenhagen, Denmark; [Edovald, Triin; Kark, Timo] Estonian Environm Agcy, Tallinn, Estonia; [Grew, Robert] Environm Agcy, Exeter, England; [Kideys, Ahmet Erkan] Middle East Tech Univ, Inst Marine Sci, Erdemli Mersin, Turkey; [Peltola, Taru] Finnish Environm Inst SYKE, Joensuu, Finland; [Volten, Hester] Natl Inst Publ Hlth &amp; Environm RIVM, Bilthoven, Netherlands</t>
  </si>
  <si>
    <t>Middle East Technical University; Finnish Environment Institute; Netherlands National Institute for Public Health &amp; the Environment</t>
  </si>
  <si>
    <t>Rubio-Iglesias, JM (corresponding author), European Environm Agcy, Copenhagen, Denmark.</t>
  </si>
  <si>
    <t>jose.rubio@eea.europa.eu</t>
  </si>
  <si>
    <t>2624-9553</t>
  </si>
  <si>
    <t>FRONT CLIM</t>
  </si>
  <si>
    <t>Front. Clim.</t>
  </si>
  <si>
    <t>DEC 4</t>
  </si>
  <si>
    <t>L4RP1</t>
  </si>
  <si>
    <t>WOS:001023157100001</t>
  </si>
  <si>
    <t>Municipal Solid Waste Characterization and Landfill Gas Generation in Kakia Landfill, Makkah</t>
  </si>
  <si>
    <t>In many countries, open dumping is considered the simplest, cheapest, and most cost-effective way of managing solid wastes. Thus, in underdeveloped economies, Municipal Solid Wastes (MSW) are openly dumped. Improper waste disposal causes air, water, and soil pollution, impairing soil permeability and blockage of the drainage system. Solid Waste Management (SWM) can be enhanced by operating a well-engineered site with the capacity to reduce, reuse, and recover MSW. Makkah city is one of the holiest cities in the world. It harbors a dozen of holy places. Millions of people across the globe visit the place every year to perform Hajj, Umrah, and tourism. In the present study, MSW characterization and energy recovery from MSW of Makkah was determined. The average composition of solid waste in Makkah city is organic matter (48%), plastics (25%), paper and cardboard (20%), metals (4%), glass (2%), textiles (1%), and wood (1%). In order to evaluate energy recovery potential from solid waste in Kakia open dumpsite landfill, the Gas Generation Model (LandGEM) was used. According to LandGEM results, landfill gas (methane and carbon dioxide) generation potential and capacity were determined. Kakia open dump has a methane potential of 83.52 m(3) per ton of waste.</t>
  </si>
  <si>
    <t>10.3390/su13031462</t>
  </si>
  <si>
    <t>Osra, FA; Ozcan, HK; Alzahrani, JS; Alsoufi, MS</t>
  </si>
  <si>
    <t>Osra, Faisal A.; Ozcan, Huseyin Kurtulus; Alzahrani, Jaber S.; Alsoufi, Mohammad S.</t>
  </si>
  <si>
    <t>landfilling; landfill gas; energy recovery; solid waste; characterization</t>
  </si>
  <si>
    <t>MANAGEMENT</t>
  </si>
  <si>
    <t>[Osra, Faisal A.] Umm Al Qura Univ, Dept Civil Engn, Coll Engn &amp; Islamic Architecture, Mecca 21955, Saudi Arabia; [Ozcan, Huseyin Kurtulus] Istanbul Univ Cerrahpasa, Fac Engn, Dept Environm Engn, TR-34320 Istanbul, Turkey; [Alzahrani, Jaber S.] Umm Al Qura Univ, Dept Ind Engn, Al Qunfudhah Engn Coll, Mecca 21955, Saudi Arabia; [Alsoufi, Mohammad S.] Umm Al Qura Univ, Dept Mech Engn, Coll Engn &amp; Islamic Architecture, Mecca 21955, Saudi Arabia</t>
  </si>
  <si>
    <t>Umm Al Qura University; Istanbul University - Cerrahpasa; Umm Al Qura University; Umm Al Qura University</t>
  </si>
  <si>
    <t>Osra, FA (corresponding author), Umm Al Qura Univ, Dept Civil Engn, Coll Engn &amp; Islamic Architecture, Mecca 21955, Saudi Arabia.</t>
  </si>
  <si>
    <t>faosra@uqu.edu.sa; hkozcan@istanbul.edu.tr; Jszahrani@uqu.edu.sa; mssoufi@uqu.edu.sa</t>
  </si>
  <si>
    <t>Alzahrani, Jaber/AGX-4231-2022; Alsoufi, Dr. Mohammad S./H-9947-2016</t>
  </si>
  <si>
    <t>Osra, Faisal/0000-0003-0789-7351; Alsoufi, Dr. Mohammad S./0000-0003-2576-9249</t>
  </si>
  <si>
    <t>Deputyship for Research &amp; Innovation, Ministry of Education in Saudi Arabia [20-UQU-IF-P1-001]</t>
  </si>
  <si>
    <t>Deputyship for Research &amp; Innovation, Ministry of Education in Saudi Arabia</t>
  </si>
  <si>
    <t>This research was funded by Deputyship for Research &amp; Innovation, Ministry of Education in Saudi Arabia grant number 20-UQU-IF-P1-001.</t>
  </si>
  <si>
    <t>QD6HO</t>
  </si>
  <si>
    <t>WOS:000615616900001</t>
  </si>
  <si>
    <t>Effects of Sevoflurane and Desflurane on Oxidant/Antioxidant Status of Young Versus Old Rat Liver Tissues</t>
  </si>
  <si>
    <t>Anesthetic agents modulate on oxidant/antioxidant activity. This study aimed to evaluate the effects of desflurane and sevoflurane anesthesia on the oxidant/antioxidant activity in the liver of young and aged rats. The study involved 60 male Wistar Albino Rats. Rats, which 5-6 months of age deemed as young (Group Y, n = 30) and 10-11 months of age deemed as old (Group O, n = 30). The weight range of the rats was 270-350 g. The groups of rats were randomly divided into 3 groups as the control group [Group Y, (Young Control 100% O-2; n = 10) and Group O-c (Old Control 100% 0,; n = 10)], desflurane group [Group Y-D, (Young Desflurane; 6% Desflurane in 100% O-2; n = 10)] and Group O-2, (Old Desfluranee; 6% Desflurane in 100% O-2; n = 10)] and sevoflurane group [Group Y-S (Young Sevoflurane; 2% Sevoflurane in 100% O-2; n = 10) and Group O-S (Old Sevoflurane; 2% Sevoflurane in 100% 02; n = 10)]. The rats placed into a transparent plastic cage. The rats were exposed to different anesthetic agents or oxygen for 2 h by the use of half open Anesthesia System (AMS, Senior 425), while rats' simultaneous normal breathing was maintained. At the end of the exposure, they were administered a high dose of ketamine and the livers of the animals were sugically removed. SOD, GST and NOS activities were determined and levels of oxidative stress was monitored by measuring TBARS via levels of MDA in the liver. Desflurane induce oxidative stress in both young and old rats, with higher levels in old rats. However, sevoflurane did not cause oxidative stress in young rats. Sevoflurane increased the oxidative stress in the old rats based on SOD and TBARS levels, while it maintained GST activity and decreased NOS activity. However, further studies are needed.</t>
  </si>
  <si>
    <t>Mustafa, A; Berrin, I; Yusuf, U; Nurlu, N; Zerrin, O; Metin, CF; Isin, G; Bekir, DC; Nedim, C; Mustafa, K; Omer, K</t>
  </si>
  <si>
    <t>Mustafa, Arslan; Berrin, Isik; Yusuf, Unal; Nurlu, Nihan; Zerrin, Ozkose; Metin, Comu Faruk; Isin, Gunes; Bekir, Demirel Cengiz; Nedim, Cekmen; Mustafa, Kavutcu; Omer, Kurtipek</t>
  </si>
  <si>
    <t>Oxidative stress; desflurane; sevoflurane; rat; age</t>
  </si>
  <si>
    <t>GLUTATHIONE-S-TRANSFERASE; OXIDATIVE STRESS; NITRIC-OXIDE; ANTIOXIDANT DEFENSE; HALOTHANE; ISOFLURANE; CELL; METABOLISM; ANESTHESIA; PROPOFOL</t>
  </si>
  <si>
    <t>[Mustafa, Arslan] Yuksek Ihtisas Hosp, Dept Anesthesiol, Kirikkale, Turkey; [Berrin, Isik] Gazi Univ, Fac Med Dent, Dept Pediat Dent, Ankara, Turkey; [Yusuf, Unal; Zerrin, Ozkose; Bekir, Demirel Cengiz; Omer, Kurtipek] Gazi Univ, Fac Med, Dept Anesthesiol &amp; Reanimat, Ankara, Turkey; [Nurlu, Nihan; Mustafa, Kavutcu] Gazi Univ, Fac Med, Dept Med Biochem, Ankara, Turkey; [Metin, Comu Faruk] Kirikkale Univ, Fac Med, Dept Physiol, Kirikkale, Turkey; [Isin, Gunes] Erciyes Univ, Fac Med, Dept Anesthesiol &amp; Reanimat, Kayseri, Turkey; [Nedim, Cekmen] Guven Hosp, Dept Anesthesiol, Ankara, Turkey</t>
  </si>
  <si>
    <t>Kirikkale Yuksek Ihtisas Hospital; Gazi University; Gazi University; Gazi University; Kirikkale University; Erciyes University; Guven Hastanesi</t>
  </si>
  <si>
    <t>Mustafa, A (corresponding author), 297 Sokak,Seda Apartmani 19-17, Yenimahalle Kirikkale, Turkey.</t>
  </si>
  <si>
    <t>Nurlu Ayan, Nilhan/0000-0002-0844-5050</t>
  </si>
  <si>
    <t>365SR</t>
  </si>
  <si>
    <t>WOS:000260428600002</t>
  </si>
  <si>
    <t>Nutritional Habits and Precocious Puberty in Girls: A Pilot Study</t>
  </si>
  <si>
    <t>Aim: Precocious puberty (PP) is defined as the appearance of secondary sexual characteristics before the age of nine in boys or eight in girls. Due to changing socio-economic conditions, nutritional habits and environmental factors, the onset of normal puberty is being seen at younger ages these days. The purpose of this study was to evaluate the dietary habits and environmental factors in cases that presented to or were being followed up by the Child Endocrinology Clinic with symptoms of PP. Materials and Methods: The study group included 50 girls aged 2-8 years who presented with symptoms of PP and whose diagnosis was being monitored. A survey noting food consumption was made recording the girls' dietary habits, fast food consumption and frequency, information about their health, physical activity (PA) and environmental factors using a 24-hour-recall technique. Results: The mean age of the girls was 7.1 +/- 0.9 years. According to body mass index z-scores, 62.0% of the girls were overweight [(&gt;=+1 standard deviation (SD)], 34.0% were normal (&gt;=+1 SD -&lt;+1 SD) and 4.0% were underweight. There was a statistically significant difference between the girls' levels of activity and their mean ages (p&lt;0.05). The girls' favorite choices of fast food were hamburgers (20.3%), lahmacun (a thin pizza with spicy meat topping) (11.9%), 32% of the girls were using perfumes or skin creams. Plastic culinary utensils were used in 56% of the children's homes. Of those girls who watched more than three hours of television (TV) a day, 71% were overweight. Conclusion: Increased consumption of fast food containing higher amounts of fat, energy and protein in conjunction with decreased PA, exposure to chemicals that impair the endocrine system and exposure to stimulating devices (TV, computer) may be important factors in the development of PP. Further research is needed to evaluate the negative effects of these factors.</t>
  </si>
  <si>
    <t>10.4274/jpr.04796</t>
  </si>
  <si>
    <t>Koc, N; Yardimci, H; Arslan, NN; Ucakturk, SA</t>
  </si>
  <si>
    <t>Koc, Nevra; Yardimci, Hulya; Arslan, Nazli Nur; Ucakturk, Seyit Ahmet</t>
  </si>
  <si>
    <t>JOURNAL OF PEDIATRIC RESEARCH</t>
  </si>
  <si>
    <t>Nutritional habits; menarche; obesity; precocious puberty; lifestyle</t>
  </si>
  <si>
    <t>SECULAR TRENDS; FOLLOW-UP; AGE; CHILDHOOD; MENARCHE; GROWTH; COHORT; ONSET; GAIN; DIET</t>
  </si>
  <si>
    <t>[Koc, Nevra] Univ Hlth Sci, Ankara Child Hlth &amp; Dis Hematol Oncol Training &amp;, Dept Pediat Nutr &amp; Metab, Ankara, Turkey; [Yardimci, Hulya; Arslan, Nazli Nur] Ankara Univ, Fac Hlth Sci, Dept Nutr &amp; Dietet, Ankara, Turkey; [Ucakturk, Seyit Ahmet] Univ Hlth Sci, Ankara Child Hlth &amp; Dis Hematol Oncol Res &amp; Train, Dept Pediat Endocrinol, Ankara, Turkey</t>
  </si>
  <si>
    <t>Ankara Children's Hematology Oncology Training &amp; Research Hospital; University of Health Sciences Turkey; Ankara University; Ankara Children's Hematology Oncology Training &amp; Research Hospital; University of Health Sciences Turkey</t>
  </si>
  <si>
    <t>Koc, N (corresponding author), Univ Hlth Sci, Ankara Child Hlth &amp; Dis Hematol Oncol Training &amp;, Dept Pediat Nutr &amp; Metab, Ankara, Turkey.</t>
  </si>
  <si>
    <t>nevrakoc@yahoo.com</t>
  </si>
  <si>
    <t>ÇİN, Nazlı Nur ASLAN/ABA-6642-2020; Yardımcı, Hülya/AAF-8052-2020; uçaktürk, seyit ahmet/HKV-9301-2023</t>
  </si>
  <si>
    <t>Yardımcı, Hülya/0000-0002-2664-4176; uçaktürk, seyit ahmet/0000-0001-8666-4454; ASLAN CIN, NAZLI NUR/0000-0002-4458-8817; Koc, Nevra/0000-0002-4358-4443</t>
  </si>
  <si>
    <t>GALENOS YAYINCILIK</t>
  </si>
  <si>
    <t>FINDIKZADE</t>
  </si>
  <si>
    <t>ERKAN MOR, MOLLA GURANI CAD 21-1, FINDIKZADE, ISTANBUL 34093, TURKEY</t>
  </si>
  <si>
    <t>2147-9445</t>
  </si>
  <si>
    <t>J PEDIATR RES</t>
  </si>
  <si>
    <t>J. Pediatr. Res.</t>
  </si>
  <si>
    <t>HJ0FE</t>
  </si>
  <si>
    <t>WOS:000456832200007</t>
  </si>
  <si>
    <t>ASSOCIATIVE EFFECTS OF ENSILING SOYBEAN AND CORN PLANT AS MIXTURES ON THE NUTRITIVE VALUE, FERMENTATION AND METHANE EMISSION</t>
  </si>
  <si>
    <t>The aim of the current experiment was to determine the fermentation characteristics and nutritive value of soybean and corn plants silage either as sole crops or as four different mixtures rates. Two forages were ensiled in plastic bags for 60 days at room temperature as mixtures containing 100:00, 80:20, 60:40; 40:60; 20:80; 0:100 of soybean:corn plant on a fresh weight basis. The resultant silages were evaluated using the chemical analysis and in vitro gas production technique. Ensiling of soybean with whole corn plant has a significant effect on the chemical composition, fermentation parameters, organic matter digestibility (OMD), metabolisable energy (ME) and aerobic stability of the resultant silages. As the proportion of corn plant increase in silage mixture, crude protein (CP), neutral detergent fiber (NDF), acid detergent fiber (ADF), crude ash (CA), pH, acetic acid, butyric acid contents and aerobic stability decreased while dry matter content (DM), Fleig score (FS), dry matter recovery (DMR), lactic acid, gas production, methane production, ME and OMD of the resultant silages were increased. This study clearly showed that good quality silages with high ME and OMD can be produced with soybean:corn plant ratios of 60:40, 40:60 and 20:80. Ensiling of soybean plant with corn plant improved more or less the quality and nutritive value of the resultant silages irrespective of mixing ratio. Ensiling the soybean plant with corn plant overcome some of drawbacks associated with low DM, pH and nutritive value of soybean silage. It can be recommended that soybean plant can be ensiled with corn plant at the ratio of 60:40, 40:60 and 20:80 as green herbage basis. This experiment clearly indicated that high quality silage could be obtained through mixing of soybean plant with corn plant. However, in vivo experiments with ruminants are required to determine the effect of associative effects on animal performance.</t>
  </si>
  <si>
    <t>Kizilsimsek, M; Ozturk, C; Yanar, K; Ertekin, I; Ozkan, CO; Kamalak, A</t>
  </si>
  <si>
    <t>Kizilsimsek, Mustafa; Ozturk, Cehre; Yanar, Kubra; Ertekin, Ibrahim; Ozkan, Cagri Ozgur; Kamalak, Adem</t>
  </si>
  <si>
    <t>Soybean; Corn; Silage; Nutritive Value; In Vitro Gas production; Aerobic stability</t>
  </si>
  <si>
    <t>WHOLE-CROP MAIZE; AEROBIC STABILITY; IN-VITRO; CHEMICAL-COMPOSITION; GAS-PRODUCTION; LACTOBACILLUS-BUCHNERI; RUMEN FERMENTATION; SILAGE MIXTURES; DAIRY-COWS; DIGESTIBILITY</t>
  </si>
  <si>
    <t>[Kizilsimsek, Mustafa] Kahramanmaras Sutcu Imam Univ, Fac Agr, Field Crops Dept Kahramanmaras, Kahramanmaras, Turkey; [Ozturk, Cehre; Yanar, Kubra; Ertekin, Ibrahim] Kahramanmaras Sutcu Imam Univ, Nat &amp; Appl Sci Inst, Kahramanmaras, Turkey; [Ozkan, Cagri Ozgur] Kahramanmaras Sutcu Imam Univ, Goksun Vocat Sch, Organ Farming Dept Kahramanmaras, Kahramanmaras, Turkey; [Kamalak, Adem] Kahramanmaras Sutcu Imam Univ, Fac Agr, Anim Sci Dept, Kahramanmaras, Turkey</t>
  </si>
  <si>
    <t>Kahramanmaras Sutcu Imam University; Kahramanmaras Sutcu Imam University; Kahramanmaras Sutcu Imam University; Kahramanmaras Sutcu Imam University</t>
  </si>
  <si>
    <t>Kizilsimsek, M (corresponding author), Univ Kahramanmaras Sutcu Imam, Fac Agr, Field Crops Dept, TR-46100 Kahramanmaras, Turkey.</t>
  </si>
  <si>
    <t>mkizil@ksu.edu.tr</t>
  </si>
  <si>
    <t>Yanar, Karolin/D-3016-2019; ertekin, ibrahim/X-5883-2018; ertekin, ibrahim/K-4513-2019</t>
  </si>
  <si>
    <t>Yanar, Karolin/0000-0001-6571-415X; ertekin, ibrahim/0000-0003-1393-8084</t>
  </si>
  <si>
    <t>FK4XF</t>
  </si>
  <si>
    <t>WOS:000413499500009</t>
  </si>
  <si>
    <t>Experimental study on design and operational performance of solar-powered venturi aeration system developed for aquaculture-A semi-floating prototype</t>
  </si>
  <si>
    <t>Venturi-type injectors have been used usually due to the practical use and modular design that allows for quick configuration, ready-to-use, and low-cost solutions in the last years. This study aims to design a solar-powered venturi aeration system (SVAS) and determine its flow characteristics, standard, and real-time operational performance parameters. SVAS has a design providing the maximum vacuum and air velocity at air inlets and allowing for all technical measurements. Moreover, a solar-powered experimental apparatus having a weather station, a pool station, and a data logger station was constructed. Experiments were carried out using a plastic pool with a capacity of 4000 L, a diameter of 3 m and a depth of 0.75 m, four venturi injectors, and a submersible pump of 0.3 kW operated at the constant water flow regime of 4.1 m3 h-1. According to flow tests, the oxygen mass flow rates ranged from 2.77 to 2.84 kg h-1. The specific energy consumption values are 263.2 kJ per cubic meter for water flow and 380 kJ per kg for oxygen transfer.Standard performance experiments were repeated four times. The maximum overall oxygen mass transfer coefficient obtained during the experiments was 5.58 h-1. The maximum values of standard oxygen transfer rate (SOTR), standard aeration efficiency (SAE), and standard oxygen transfer efficiency (SOTE) were 0.206 kgO2 h-1, 0.681 kgO2 kWh-1, and 7.32%, respectively. The pool conditions were simulated using de-oxygenation and mixing systems to determine the operational performance. For simulation experiments, six procedures and two processes were applied. Throughout operational experiments of four days, real-time dissolved oxygen levels fluctuated between 1.05 mg L-1 and 6.65 mg L-1. The maximum performance values were 0.143 kgO2 h-1 for the actual oxygen-transfer rate, 0.474 kgO2 kWh-1 for aeration efficiency, and 5.1% for oxygen transfer efficiency.</t>
  </si>
  <si>
    <t>10.1016/j.aquaeng.2022.102255</t>
  </si>
  <si>
    <t>Dayioglu, MA</t>
  </si>
  <si>
    <t>Dayioglu, Mehmet Ali</t>
  </si>
  <si>
    <t>AQUACULTURAL ENGINEERING</t>
  </si>
  <si>
    <t>Venturi aeration; Dissolved oxygen; Solar energy; Aerator; Real-time monitoring; Operational performance</t>
  </si>
  <si>
    <t>RENEWABLE ENERGY; WATER; SCALE; OPTIMIZATION; AERATORS; PV</t>
  </si>
  <si>
    <t>[Dayioglu, Mehmet Ali] Ankara Univ, Fac Agr, Dept Agr Machinery &amp; Technol Engn, TR-06130 Ankara, Turkey</t>
  </si>
  <si>
    <t>Dayioglu, MA (corresponding author), Ankara Univ, Fac Agr, Dept Agr Machinery &amp; Technol Engn, TR-06130 Ankara, Turkey.</t>
  </si>
  <si>
    <t>dayioglu@agri.ankara.edu.tr</t>
  </si>
  <si>
    <t>DAYIOĞLU, MEHMET ALİ/A-3300-2016</t>
  </si>
  <si>
    <t>Scientific and Technological Research Council of Turkey [TUBITAK-1002, 114O095]</t>
  </si>
  <si>
    <t>This study was funded by the Scientific and Technological Research Council of Turkey (TUBITAK-1002 Quick Support Program-Project-114O095) . Acknowledgment I want to give thank to Yohannes Berhane Gebremedhen from Aksum University for his support during the design.</t>
  </si>
  <si>
    <t>0144-8609</t>
  </si>
  <si>
    <t>1873-5614</t>
  </si>
  <si>
    <t>AQUACULT ENG</t>
  </si>
  <si>
    <t>Aquac. Eng.</t>
  </si>
  <si>
    <t>Agricultural Engineering; Fisheries</t>
  </si>
  <si>
    <t>Agriculture; Fisheries</t>
  </si>
  <si>
    <t>1P4IY</t>
  </si>
  <si>
    <t>WOS:000801975600002</t>
  </si>
  <si>
    <t>CAN INFRARED THERMOGRAPHY BE USED TO PREDICT EAR TAGS INFECTIONS IN LAMBS?</t>
  </si>
  <si>
    <t>Ear tagging is one of the common husbandry procedures that cause not only pain and stress but also tissue reaction and infection. Reliable and non-invasive tools are needed to determine the stress and/or pain resulting from routine husbandry procedures commonly performed in farms. Thermal imaging is a non-invasive diagnostic method used in veterinary medicine. The aim of the study was to determine the usability of infrared thermography in prediction of infections caused by electronic and visual ear tags in lambs. We hypothesized that reactive temperature increase within the first hour in the ear tissue in response to the ear tags would trigger the formation of infection. The study was carried out on Akkaraman lambs (n = 60) reared under rural farm conditions. All lambs at two weeks of age were identified with an electronic ear tag (FDX-B, Allflex) on the left ear and an official plastic ear tag on the right ear. Before tagging, infrared images of the ear region were collected at a consistent distance from the left ear of the animal using an infrared camera (FLIR E50) in the barn. Tag insertion was performed by two practitioners at the same time. An hour after tagging, the thermal measurements of both ears were carried out again with infrared camera. The ears of lambs were individually checked in the week after tagging. The status of ear lesions was monitored until healing (about 8 weeks). Before tagging, the average thermal temperature of the left ear was measured as 16.68 degrees C. Electronic ear tags caused more problems than official ear tags. Infected ear rate in electronic and official ear tags was 80% and 50% respectively. Significant temperature differences existed between infected and non-infected ears (P &lt; 0.05). All ear tags that caused further increase in reactive temperature resulted in an inflammatory reaction. As a result, early detection of inflammation is very crucial in terms of implementation of treatment and animal welfare. Ear lesions caused by ear tags in lambs can be early identified using infrared thermography. The preliminary findings of this study should be supported in subsequent studies.</t>
  </si>
  <si>
    <t>Karakus, F; Duzgun, A; Karakus, M; Aslan, L</t>
  </si>
  <si>
    <t>Karakus, Ferda; Duzgun, Adem; Karakus, Murat; Aslan, Logman</t>
  </si>
  <si>
    <t>SCIENTIFIC PAPERS-SERIES D-ANIMAL SCIENCE</t>
  </si>
  <si>
    <t>infrared thermography; ear tags; lamb</t>
  </si>
  <si>
    <t>[Karakus, Ferda] Yuzuncu Yil Univ, Fac Agr, Dept Anim Sci, TR-65080 Van, Turkey; [Duzgun, Adem; Karakus, Murat] Directorate Prov Food Agr &amp; Livestock, Van, Turkey; [Aslan, Logman] Yuzuncu Yil Univ, Fac Vet Med, Dept Surg, TR-65080 Van, Turkey</t>
  </si>
  <si>
    <t>Yuzuncu Yil University; Ministry of Food, Agriculture &amp; Livestock - Turkey; Yuzuncu Yil University</t>
  </si>
  <si>
    <t>Karakus, F (corresponding author), Yuzuncu Yil Univ, Fac Agr, Dept Anim Sci, TR-65080 Van, Turkey.</t>
  </si>
  <si>
    <t>fkarakus@yyu.edu.tr; ademduzgun@mynet.com; mkarakus21@hotmail.com; logmanaslan@gmail.com</t>
  </si>
  <si>
    <t>Karakus, Murat/A-9517-2011; Karakuş, Ferda/J-6578-2016</t>
  </si>
  <si>
    <t xml:space="preserve">Karakus, Murat/0000-0001-6701-1888; </t>
  </si>
  <si>
    <t>UNIV AGRICULTURAL SCIENCES &amp; VETERINARY MEDICINE BUCHAREST</t>
  </si>
  <si>
    <t>BUCHAREST</t>
  </si>
  <si>
    <t>59 MARASTI BOULEVARD, DISTRICT 1, BUCHAREST, 011464, ROMANIA</t>
  </si>
  <si>
    <t>2285-5750</t>
  </si>
  <si>
    <t>2393-2260</t>
  </si>
  <si>
    <t>SCI PAP-SER D-ANIM S</t>
  </si>
  <si>
    <t>Sci. Pap.-Ser. D-Anim. Sci.</t>
  </si>
  <si>
    <t>VB6CV</t>
  </si>
  <si>
    <t>WOS:000416371900034</t>
  </si>
  <si>
    <t>Characterization of ferrochrome ash and blast furnace slag based alkali-activated paste and mortar</t>
  </si>
  <si>
    <t>Ferrochrome ash (FCA) is an industrial waste material which when disposed causes environmental pollution and health hazard. Therefore, in this paper, FCA replaced up to 30 % of blast furnace slag (BFS) to investigate its possible utilization by producing alkali-activated material. The effect of FCA content and varying Na2O dosage on fresh, physicomechanical and microstructural properties was discussed. The addition of FCA improved the rheological properties of mixes by reducing plastic viscosity from 47.3 to 22.9 Pa.s and from 129.2 to 71.1 Pa.s and yield stress from 87.5 to 40.7 Pa and from 89.8 to 44.0 Pa for Na2O dosage of 6 and 10 %, respectively. This allowed reduction of water content, which in turn resulted in similar or superior physicomechanical properties compared to the control mixtures. The setting time was prolonged with an increase in Na2O dosage and FCA addition and was mainly governed by the initial molar ratio of SiO2/Al2O3. The increase in FCA ratios consis-tently decreased semi-adiabatic peak temperature and time to reach the peak temperature. FCA addition decreased compressive strength and drying shrinkage of mortar mixes, whereas increase in Na2O dosage significantly enhanced strength. The microstructural investigations revealed that the major reaction products of paste mixes were C-S-H, C-A-S-H, and/or M-S-H gels, along with minor phases such as forsterite, natrolite, brownmillerite, and spinel. The formation of M-S-H type gels was observed with an increased replacement ratio of FCA. In addition, the polymerization of main reaction products is found to be controlled by the Ca/Si and Si/Al ratios as revealed by microstructural analysis. The findings of this research point out the viability of producing BFS and FCA-based alkali-activated material with reasonable properties and their efficient utilization which may ensure sustainability.</t>
  </si>
  <si>
    <t>10.1016/j.conbuildmat.2022.129805</t>
  </si>
  <si>
    <t>Omur, T; Miyan, N; Kabay, N; Birol, B; Oktay, D</t>
  </si>
  <si>
    <t>Omur, Tarik; Miyan, Nausad; Kabay, Nihat; Birol, Burak; Oktay, Didem</t>
  </si>
  <si>
    <t>Alkali -activation; Ferrochrome ash; Microstructure; Rheology; Physicomechanical properties</t>
  </si>
  <si>
    <t>WATER-TREATMENT-SLUDGE; RICE HUSK ASH; STRENGTH PROPERTIES; DRYING SHRINKAGE; PORTLAND-CEMENT; GEOPOLYMER; CONCRETE; RHEOLOGY; MICROSTRUCTURE; PERFORMANCE</t>
  </si>
  <si>
    <t>[Omur, Tarik; Kabay, Nihat; Oktay, Didem] Yildiz Tech Univ, Dept Civil Engn, TR-34220 Istanbul, Turkiye; [Miyan, Nausad] LBA Design &amp; Consultancy, TR-34750 Istanbul, Turkiye; [Birol, Burak] Yildiz Tech Univ, Dept Met &amp; Mat Engn, TR-34210 Istanbul, Turkiye</t>
  </si>
  <si>
    <t>Yildiz Technical University; Yildiz Technical University</t>
  </si>
  <si>
    <t>Kabay, N (corresponding author), Yildiz Tech Univ, Dept Civil Engn, TR-34220 Istanbul, Turkiye.</t>
  </si>
  <si>
    <t>nkabay@yildiz.edu.tr</t>
  </si>
  <si>
    <t>Omur, Tarik/ADY-9439-2022; Birol, Burak/H-3493-2013</t>
  </si>
  <si>
    <t>Omur, Tarik/0000-0002-1488-5028; Birol, Burak/0000-0001-6054-864X</t>
  </si>
  <si>
    <t>JAN 11</t>
  </si>
  <si>
    <t>6Y2SP</t>
  </si>
  <si>
    <t>WOS:000896950200002</t>
  </si>
  <si>
    <t>Modeling surface fuels moisture content in Pinus brutia stands</t>
  </si>
  <si>
    <t>Fuel moisture content is an important variable for forest fires because it affects fuel ignition and fire behavior. In order to accurately predict fuel ignition potential, fuel moisture content must be assessed by evaluating fire spread, fireline intensity and fuel consumption. Our objective here is to model moisture content of surface fuels in normally stocked Calabrian pine (Pinus brutia Ten.) stands in relation to weather conditions, namely temperature, relative humidity, and wind speed in the Mugla province of Turkey. All surface fuels were categorized according to diameter classes and fuel types. Six fuel categories were defined: these were 0-0.3, 0.3-0.6, and 0.6-1cm diameter classes, and cone, surface litter, and duff. Plastic containers 15x20cm in size with 1x1mm mesh size were used. Samples were taken from 09:00 to 19:00h and weighed every 2h with 0.01g precision for 10days in August. At the end of the study, samples were taken to the laboratory, oven-dried at 105 degrees C for 24h and weighed to obtain fuel-moisture contents. Weather measurements were taken from a fully automated weather station set up at the study site prior to the study. Correlation and regression analyses were carried out and models were developed to predict fuel moisture contents for desorption and adsorption phase for each fuel type categories. Practical fuel moisture prediction models were developed for dry period. Models were developed that performed well with reasonable accuracy, explaining up to 92 and 95.6% of the variability in fuel-moisture contents for desorption and adsorption phases, respectively. Validation of the models were conducted using an independent data set and known fuel moisture prediction models. The predictive power of the models was satisfactory with mean absolute error values being 1.48 and 1.02 for desorption and adsorption as compared to the 2.05 and 1.60 values for the Van Wagner's hourly litter moisture content prediction model. Results obtained in this study will be invaluable for fire management planning and modeling.</t>
  </si>
  <si>
    <t>10.1007/s11676-018-0702-x</t>
  </si>
  <si>
    <t>Bilgili, E; Coskuner, KA; Usta, Y; Goltas, M</t>
  </si>
  <si>
    <t>Bilgili, Ertugrul; Coskuner, Kadir Alperen; Usta, Yetkin; Goltas, Merih</t>
  </si>
  <si>
    <t>JOURNAL OF FORESTRY RESEARCH</t>
  </si>
  <si>
    <t>Fire management; Forest fires; Fuels; Fuel moisture</t>
  </si>
  <si>
    <t>CALABRIAN PINE; FIRE BEHAVIOR; PLANTATIONS; DYNAMICS; SYSTEM; LOAD</t>
  </si>
  <si>
    <t>[Bilgili, Ertugrul; Coskuner, Kadir Alperen; Usta, Yetkin] Karadeniz Tech Univ, Fac Forestry, TR-61080 Trabzon, Turkey; [Goltas, Merih] Istanbul Univ, Fac Forestry, TR-34100 Istanbul, Turkey</t>
  </si>
  <si>
    <t>Karadeniz Technical University; Istanbul University</t>
  </si>
  <si>
    <t>Coskuner, KA (corresponding author), Karadeniz Tech Univ, Fac Forestry, TR-61080 Trabzon, Turkey.</t>
  </si>
  <si>
    <t>kacoskuner@ktu.edu.tr</t>
  </si>
  <si>
    <t>GÖLTAŞ, Merih/Y-2121-2018; Coskuner, Kadir Alperen/AAR-2110-2020; Bilgili, Ertugrul/AAK-1970-2021; Usta, Yetkin/AAB-1323-2020</t>
  </si>
  <si>
    <t>Coskuner, Kadir Alperen/0000-0001-5249-1604; GOLTAS, MERIH/0000-0002-6052-5373</t>
  </si>
  <si>
    <t>Scientific and Technological Research Council of Turkey (TUBITAK) [TOVAG - 112O809]</t>
  </si>
  <si>
    <t>This study was supported by The Scientific and Technological Research Council of Turkey (TUBITAK), Project No: TOVAG - 112O809.</t>
  </si>
  <si>
    <t>NORTHEAST FORESTRY UNIV</t>
  </si>
  <si>
    <t>HARBIN</t>
  </si>
  <si>
    <t>NO 26 HEXING RD, XIANGFANG DISTRICT, HARBIN, 150040, PEOPLES R CHINA</t>
  </si>
  <si>
    <t>1007-662X</t>
  </si>
  <si>
    <t>1993-0607</t>
  </si>
  <si>
    <t>J FORESTRY RES</t>
  </si>
  <si>
    <t>J. For. Res.</t>
  </si>
  <si>
    <t>Forestry</t>
  </si>
  <si>
    <t>HN2GO</t>
  </si>
  <si>
    <t>WOS:000460003900020</t>
  </si>
  <si>
    <t>Investigation of optical, film formation, and magnetic properties of PS latex/SP-MNPs composites</t>
  </si>
  <si>
    <t>In this work, the optical, film formation, morphological and the magnetic properties of a novel type of nanocomposite system, composed of polystyrene (PS) latex and core-shell superparamagnetic nanoparticles (SP-MNPs), is presented. The film formation and optical properties were examined by UV-vis technique, morphological changes by scanning electron microscopy and magnetic properties studied using vibrating sample magnetometer (VSM) as a function of SP-MNPs content. A series of mixtures were prepared by mixing of PS latex dispersion with different amount of SP-MNPs in the range of (0-100 wt%). PS/SP-MNPs films were then prepared from these mixtures on glass substrates using drop casting method. After drying, film was separately annealed at elevated temperatures between 100 degrees C and 250 degrees C. In order to monitor film formation process, transmittance of these composites was measured after each annealing step as a function of SP-MNPs content. It was found that below a critical SP-MNPs content, PS percolates into the SP-MNPs hard phase and forms an interconnected network upon annealing. However, above this critical value, PS latexes were no longer film forming at all temperatures. Besides, composite films showed superparamagnetic behaviors. The saturation magnetization (M-s) first increased and reached to 0.014 emu/cm(3) at 50 wt% SP-MNPs, then decreased to 0.010 emu/cm(3) with increasing SP-MNPs content. The maximum value of M-s was approximately 0.020 emu/cm(3) and was obtained for the 85 wt% SP-MNPs content film. These results indicated that the optical, film formation and magnetic properties of PS/SP-MNPs composite films can be readily tuned by varying SP-MNPs content. POLYM. COMPOS., 40:1018-1033, 2019. (c) 2018 Society of Plastics Engineers</t>
  </si>
  <si>
    <t>10.1002/pc.24787</t>
  </si>
  <si>
    <t>Ugur, S; Dylmishi, E; Elaissaari, A; Sozeri, H</t>
  </si>
  <si>
    <t>Ugur, S.; Dylmishi, E.; Elaissaari, A.; Sozeri, H.</t>
  </si>
  <si>
    <t>ACRYLIC LATICES; TEMPERATURE-DEPENDENCE; NANOPARTICLES; PARTICLES; FIELD; INTERDIFFUSION; ELLIPSOMETRY; INTERFACE; DIFFUSION; VISCOSITY</t>
  </si>
  <si>
    <t>[Ugur, S.; Dylmishi, E.] Istanbul Tech Univ, Dept Phys, TR-34469 Istanbul, Maslak, Turkey; [Elaissaari, A.] Univ Claude Bernard Lyon 1, Univ Lyon, CNRS, F-69622 Lyon, France; [Sozeri, H.] Natl Metrol Inst, TUBITAK UME, Gebze, Turkey</t>
  </si>
  <si>
    <t>Istanbul Technical University; Centre National de la Recherche Scientifique (CNRS); UDICE-French Research Universities; Universite Claude Bernard Lyon 1; National Metrology Institute of Turkey; Turkiye Bilimsel ve Teknolojik Arastirma Kurumu (TUBITAK)</t>
  </si>
  <si>
    <t>Ugur, S (corresponding author), Istanbul Tech Univ, Dept Phys, TR-34469 Istanbul, Maslak, Turkey.</t>
  </si>
  <si>
    <t>Sözeri, Hüseyin/F-8151-2011; Elaissari, Abdelhamid/M-3312-2017</t>
  </si>
  <si>
    <t>Elaissari, Abdelhamid/0000-0002-2151-9894</t>
  </si>
  <si>
    <t>HO1IV</t>
  </si>
  <si>
    <t>WOS:000460659700017</t>
  </si>
  <si>
    <t>New analytical strategies Amplified with 2D carbon nanomaterials for electrochemical sensing of food pollutants in water and soils sources</t>
  </si>
  <si>
    <t>Pharmaceutical and food pollutants have threatened global health. Pharmacotherapy has left a positive impression in the field of health and life of people and animals. However, the many unresolved problems brought along with residues of pharmaceuticals in the environmental and food. Consumption of the world's freshwater resources, toxic chemicals, air pollution, plastic waste directly affects water and soil resources. Pesticides have a wide role in pollutants. Therefore, the determination of pesticides is significant to eliminate their negative effects on living things. Nowadays, there are many analytical methods available. However, new analysis methods are still being researched due to certain limitations of traditional methods. Electrochemical sensors have drawn attention because of their superior properties, such as short analysis time, affordability, high sensitivity, and selectivity. The development of new analytical strategies for assessing risks from pharmaceutical to food pol-lutants in water and soil sources is important for the measurement of different pollutants. Moreover, the 2D-carbon nanomaterials used in the development of electrochemical sensors are widely uti-lized to enlarge the surface area, increase porosity, and make easy immobilization. Graphene (graphene deri-vations) and carbon nanotubes integrated nanosensors are widely used for the determination of pesticides. 2D-carbon nanomaterials can be tailored according to the purpose of the study. The characterization and synthesis methods of 2D-carbon nanomaterials are widely explained. Furthermore, enzyme nanobiosensors, especially Acetylcholinesterase (AChE), are widely used to determine pesticides. The three main topics are focused on in this review: 2D-carbon nanomaterials, pesticides that threaten life, and the application of 2D-carbon nanomaterials-based electrochemical sensors. The various developed 2D-carbon nanomaterials-based electrochemical sensors were applied in pharmaceutical forms, fruits, tap/lake water, beverages, and soils sources. This work aims to indicate the recently published paper related to pesticide analysis and highlight the importance of 2D-nanomaterials on sensors.</t>
  </si>
  <si>
    <t>10.1016/j.chemosphere.2022.133974</t>
  </si>
  <si>
    <t>Ozcelikay, G; Karadurmus, L; Bilge, S; Sinag, A; Ozkan, SA</t>
  </si>
  <si>
    <t>Ozcelikay, Goksu; Karadurmus, Leyla; Bilge, Selva; Sinag, Ali; Ozkan, Sibel A.</t>
  </si>
  <si>
    <t>2D-carbon nanomaterials; Graphene; Carbon nanotubes; Pesticides; Enzyme nanobiosensors</t>
  </si>
  <si>
    <t>REDUCED GRAPHENE OXIDE; SCREEN-PRINTED ELECTRODE; LIQUID FUNCTIONALIZED GRAPHENE; HIGHLY SENSITIVE DETECTION; ACETYLCHOLINESTERASE BIOSENSOR; ORGANOPHOSPHORUS PESTICIDES; VOLTAMMETRIC DETERMINATION; IMPEDIMETRIC APTASENSOR; AMPEROMETRIC DETECTION; CARBAMATE PESTICIDE</t>
  </si>
  <si>
    <t>[Ozcelikay, Goksu; Karadurmus, Leyla; Ozkan, Sibel A.] Ankara Univ, Fac Pharm, Dept Analyt Chem, TR-06560 Ankara, Turkey; [Karadurmus, Leyla] Ankara Univ, Fac Pharm, Dept Analyt Chem, Adiyaman, Turkey; [Bilge, Selva; Sinag, Ali] Ankara Univ, Fac Sci, Dept Chem, TR-06100 Ankara, Turkey</t>
  </si>
  <si>
    <t>Ankara University; Ankara University; Ankara University</t>
  </si>
  <si>
    <t>Ozkan, SA (corresponding author), Ankara Univ, Fac Pharm, Dept Analyt Chem, TR-06560 Ankara, Turkey.</t>
  </si>
  <si>
    <t>ozkan@pharmacy.ankara.edu.tr</t>
  </si>
  <si>
    <t>bilge, sema/AAM-6729-2021; bilge, selva/AFL-6127-2022; Bilge, Selva/AAT-4838-2020; OZKAN, Sibel/Q-7183-2017</t>
  </si>
  <si>
    <t>bilge, selva/0000-0001-5514-208X; Ozcelikay, Goksu/0000-0001-7919-3236; OZKAN, Sibel/0000-0001-7494-3077</t>
  </si>
  <si>
    <t>ZG4HV</t>
  </si>
  <si>
    <t>WOS:000760221200002</t>
  </si>
  <si>
    <t>Analysis of surface crack growth under rolling contact fatigue</t>
  </si>
  <si>
    <t>Understanding the fatigue crack growth phenomenon in railheads requires a study of driving forces, such as the crack tip opening and sliding displacements, under repeated rolling contact. Finite element simulations, allowing elastic-plastic deformation, and mixed-mode crack growth laws were utilized to demonstrate that the fatigue crack growth rates display a minimum after a finite amount of crack advance. These results have implications in designing strategies for optimum grinding or wear rates to limit fatigue crack growth, and thereby prolong rail life. During the simulations, the crack was allowed to advance, permitting residual deformations and stresses to be retained from cycle to cycle. The opening and closure of crack surfaces, under forward and reverse slip and stick conditions were monitored. Normal pressures of 1500 MPa and 2000 MPa, along with shear traction ratios in the range of -0.4 to 0.4 were investigated for a varying crack size of 3-15 mm. An interesting finding was that the crack tip opening displacements decreased while the crack tip sliding displacements increased with increasing crack length. (c) 2007 Elsevier Ltd. All rights reserved.</t>
  </si>
  <si>
    <t>10.1016/j.ijfatigue.2007.11.002</t>
  </si>
  <si>
    <t>Canadinc, D; Sehitoglu, H; Verzal, K</t>
  </si>
  <si>
    <t>Canadinc, D.; Sehitoglu, H.; Verzal, K.</t>
  </si>
  <si>
    <t>INTERNATIONAL JOURNAL OF FATIGUE</t>
  </si>
  <si>
    <t>surface crack; rolling contact; fatigue; crack tip opening; crack tip sliding; crack growth rate</t>
  </si>
  <si>
    <t>MODE; CLOSURE; WEAR; RCF</t>
  </si>
  <si>
    <t>[Canadinc, D.; Sehitoglu, H.; Verzal, K.] Univ Illinois, Dept Mech Sci &amp; Engn, Urbana, IL 61801 USA</t>
  </si>
  <si>
    <t>University of Illinois System; University of Illinois Urbana-Champaign</t>
  </si>
  <si>
    <t>Canadinc, D (corresponding author), Koc Univ, Dept Mech Engn, Istanbul, Turkey.</t>
  </si>
  <si>
    <t>Canadinc, Demircan/0000-0001-9961-7702</t>
  </si>
  <si>
    <t>0142-1123</t>
  </si>
  <si>
    <t>1879-3452</t>
  </si>
  <si>
    <t>INT J FATIGUE</t>
  </si>
  <si>
    <t>Int. J. Fatigue</t>
  </si>
  <si>
    <t>Engineering, Mechanical; Materials Science, Multidisciplinary</t>
  </si>
  <si>
    <t>317ED</t>
  </si>
  <si>
    <t>WOS:000257001700014</t>
  </si>
  <si>
    <t>Particle Size Effect on the Film-Forming Process of PS/PBA Composite Latexes</t>
  </si>
  <si>
    <t>In this work, the effect of hard particle size and blend ratio on the film formation behavior of hard polystyrene (PS) and soft poly(n-butyl acrylate) (PBA) latex blends was studied by means of steady-state fluorescence and UV-visible techniques in conjunction with atomic force microscopy. Three different sets of latexes were synthesized: PBA latex (diameter 97 nm), pyrene (P)-labeled large PS (LgPS; diameter 900 nm), and small PS (SmPS; diameter 320 nm). Two different series of latex blends (LgPS/PBA and SmPS/PBA) were prepared with varying blend composition at room temperature separately. Films were then annealed at elevated temperatures above glass transition (T(g)) temperature of PS. Fluorescence intensity (I(P)) from P and photon transmission intensity (I(tr)) were measured after each annealing step to monitor the stages of film formation. The results showed that a significant change occurred in I(P) and I(tr) at a certain critical weight fraction (R(c)) of PBA. Below R(c), two distinct film formation stages, which are named as void closure and interdiffusion, were seen. However, at PBA concentrations nearer to or above R(c), no film formation can be achieved. Comparing to the LgPS/PBA, the sintering process of SmPS/PBA particles occurred at much lower temperatures. Film formation stages for R &lt; R(c) were modeled, and related activation energies were calculated. Void closure (Delta H) and interdiffusion (Delta E) activation energies for SmPS/PBA were also found smaller in comparing with LgPS/PBA series. However, Delta H and Delta E values were not changed much with the blend composition for both series. POLYM. COMPOS., 31:1637-1652,2010. (C) 2009 Society of Plastics Engineers</t>
  </si>
  <si>
    <t>10.1002/pc.20954</t>
  </si>
  <si>
    <t>Ugur, S; Sunay, MS; Elaissari, A; Pekcan, O</t>
  </si>
  <si>
    <t>Ugur, Saziye; Sunay, M. Selin; Elaissari, Abdelhamid; Pekcan, Oender</t>
  </si>
  <si>
    <t>ATOMIC-FORCE MICROSCOPY; VISCOELASTIC PROPERTIES; ACRYLIC LATICES; INTERDIFFUSION PROCESSES; POLYSTYRENE PARTICLES; POLYMER INTERFACES; SURFACTANT-FREE; VOID CLOSURE; MORPHOLOGY; BLENDS</t>
  </si>
  <si>
    <t>[Ugur, Saziye; Sunay, M. Selin] Istanbul Tech Univ, Dept Phys, TR-34469 Istanbul, Turkey; [Elaissari, Abdelhamid] Univ Lyon 1, LAGEP Lab, F-69622 Villeurbanne, France; [Pekcan, Oender] Kadir Has Univ, Fac Arts &amp; Sci, TR-34230 Istanbul, Turkey</t>
  </si>
  <si>
    <t>Istanbul Technical University; UDICE-French Research Universities; Universite Claude Bernard Lyon 1; Kadir Has University</t>
  </si>
  <si>
    <t>Elaissari, Abdelhamid/M-3312-2017; PEKCAN, Onder/Y-3158-2018</t>
  </si>
  <si>
    <t>Elaissari, Abdelhamid/0000-0002-2151-9894; PEKCAN, Onder/0000-0002-0082-8209</t>
  </si>
  <si>
    <t>Contract grant sponsor: TUBITAK-1001 Research Project; contract grant number: 107T394.</t>
  </si>
  <si>
    <t>WOS:000281123900016</t>
  </si>
  <si>
    <t>Assessment of damage zone thickness and wall convergence for tunnels excavated in strain-softening rock masses</t>
  </si>
  <si>
    <t>There are two fundamental issues in all underground excavations, which are safety and economy. To ensure safety and expedite excavations, level of tunnel wall convergences and damage zone thickness should be predicted before the excavation starts, should be determined accurately, and monitored during the excavation by the tunnel designer. However, accurate prediction of these two parameters is difficult unless in-situ stress and deformation measurement tools are used. In this study, damage zone thickness and tunnel wall convergence relation was investigated for horseshoe-shaped highway tunnels by using empirical methods. For this aim two-dimensional plane strain finite element models were used. Totally 9 tunnel sections were selected for the empirical analysis from 5 different ongoing tunnel excavations, which are excavated in weak and fair quality rock masses and show strain softening post-failure behavior. With the help of data gathered through in-situ convergence measurements and predicted convergences and rock mass geotechnical properties an empirical analysis was conducted. Engineering characteristics of the tunnel routes were determined by means of geological mapping, drillings and laboratory studies. Tunnel wall convergences were measured by optical measurement devices in three-dimensional space. Then, numerical models have been created for each of the tunnel sections studied. For evaluation of damaged zone thickness; yielded elements, volumetric strain, and principal stress concentrations have been used. Damage zone thickness and convergences were estimated from the numerical models and the whole data were compared with the real convergence results. Findings have been compared with previous researchers' convergence predictions and plastic zone calculation approaches. The results are in agreement both with the field measurements and previous empirical approaches. In this way, an empirical relation has been obtained for tunnel wall convergences and damage zone thicknesses. Besides, through an analysis of the relations of convergences at each query points in plane strain finite element model, a new empirical relation has also been put forth that gives Convergence Constant for modelled cross-section. This constant can be used as an auxiliary tool for prediction of next section convergences, on the condition that excavation has similar geological, geotechnical properties and topography.</t>
  </si>
  <si>
    <t>10.1016/j.tust.2020.103722</t>
  </si>
  <si>
    <t>Satici, O; Topal, T</t>
  </si>
  <si>
    <t>Satici, Ozguer; Topal, Tamer</t>
  </si>
  <si>
    <t>TUNNELLING AND UNDERGROUND SPACE TECHNOLOGY</t>
  </si>
  <si>
    <t>Convergence; Excavation damaged zone; NATM; Strain-softening rock; Tunnel; Turkey</t>
  </si>
  <si>
    <t>TIME-DEPENDENT DEFORMATION; SURROUNDING ROCK; DISTURBED ZONE; BACK-ANALYSIS; DISPLACEMENT; PREDICTION; DESIGN; STABILITY; PROFILES; BEHAVIOR</t>
  </si>
  <si>
    <t>[Satici, Ozguer] Gen Directorate Turkish Highways, Ankara, Turkey; [Topal, Tamer] Middle East Tech Univ, Dept Geol Engn, Ankara, Turkey</t>
  </si>
  <si>
    <t>Ministry of Transport, Maritime &amp; Communications - Turkey; Middle East Technical University</t>
  </si>
  <si>
    <t>Satici, O (corresponding author), Karayollari Gen Mudurlugu, Ic Denetim Birim Baskanligi, A Blok,11 Kat,In onu Bulvari 14, TR-06100 Yucetepe Ankara, Turkey.</t>
  </si>
  <si>
    <t>osatici@kgm.gov.tr</t>
  </si>
  <si>
    <t>General Directorate of Turkish Highways</t>
  </si>
  <si>
    <t>The authors gratefully thank General Directorate of Turkish Highways and the contractors of the tunnels for their supports during this study. Besides, the authors also thank to Dr. Ozgur BAL for the proofreading studies and Dr. Tolga B.ILGE and D. Gaye ORAL for their support on limited term license permission for the Rocscience softwares.</t>
  </si>
  <si>
    <t>0886-7798</t>
  </si>
  <si>
    <t>1878-4364</t>
  </si>
  <si>
    <t>TUNN UNDERGR SP TECH</t>
  </si>
  <si>
    <t>Tunn. Undergr. Space Technol.</t>
  </si>
  <si>
    <t>PQ3SG</t>
  </si>
  <si>
    <t>WOS:000606466400002</t>
  </si>
  <si>
    <t>Simultaneous removal of Methylene Blue and Direct Blue 71 with Pb(II) ions from multi-component systems: application of the multi-component Langmuir model</t>
  </si>
  <si>
    <t>This study aims to investigate the simultaneous removal of Methylene Blue (MB), Direct Blue 71 (DB71), and Pb(II) ions, which are frequently found together at high concentrations in different industrial wastewaters, such as textile, paper, leather, paint, and plastic manufacturing wastewaters. The simultaneous removal of Pb(II) ions with MB and DB71 from binary mixtures was investigated by the adsorption method. Magnetic halloysite nanotubes-alginate (MHNTs-ALG) hybrid beads were used to remove these components from the binary adsorption media. For this purpose, a magnetic property was gained to halloysite nanotubes using the co-precipitation method. Magnetic halloysite nanotubes (MHNTs) were composited with alginate (ALG) biopolymers through the extrusion dripping method. The adsorption capacities and efficiency of these synthesized MHNTs-ALG hybrid beads were investigated according to their anionic and cationic pollutant content in binary mixtures, and the synergistic and antagonistic effects of these components on each other were investigated by comparing them according to single systems. The compatibility with the multi-component Langmuir adsorption model for binary systems was examined using equilibrium adsorption data, and the values of the constants showing the adsorption capacity and affinity were calculated. In binary mixtures of Pb(II)-MB, the maximum amounts of Pb(II) and MB adsorbed per unit adsorbent weight calculated from the multi-component Langmuir model were 248.46 mg/g (qPb,m) and 946.92 mg/g (qMB,m), respectively. The maximum adsorption capacities of Pb(II) and Direct Blue 71 from binary systems were determined as 203.14 mg/g (qPb,m) and 118.96 mg/g (qDB71,m), respectively. The co-presence of Pb(II) and MB was concluded to create a synergistic effect compared to the adsorption of Pb(II) ions alone and an antagonistic effect compared to the adsorption of MB alone. The co-presence of Pb(II) and DB71 was observed to form a synergistic effect compared to the individual presence of Pb(II) ions and an antagonisticsynergistic mixed effect compared to the individual presence of DB71.</t>
  </si>
  <si>
    <t>10.5004/dwt.2023.29357</t>
  </si>
  <si>
    <t>Polat, G; Turkes, E; Acikel, YS</t>
  </si>
  <si>
    <t>Polat, Gorkem; Turkes, Ezgi; Acikel, Yesim Sag</t>
  </si>
  <si>
    <t>Multi-component adsorption; Magnetic halloysite nanotubes-alginate hybrid beads; Pb(II); Methylene Blue; Direct Blue 71; Multi-component Langmuir model</t>
  </si>
  <si>
    <t>HALLOYSITE NANOTUBES; AQUEOUS-SOLUTIONS; ADSORPTION; EQUILIBRIUM; BEADS; ADSORBENT; KINETICS; DYE; MECHANISM</t>
  </si>
  <si>
    <t>[Polat, Gorkem; Turkes, Ezgi] Hacettepe Univ, Inst Sci, Bioengn Div, Ankara, Turkiye; [Acikel, Yesim Sag] Hacettepe Univ, Chem Engn Dept, Fac Engn, Ankara, Turkiye; [Acikel, Yesim Sag] Hacettepe Univ, Fac Engn, Bioengn Div, Ankara, Turkiye</t>
  </si>
  <si>
    <t>Hacettepe University; Hacettepe University; Hacettepe University</t>
  </si>
  <si>
    <t>Acikel, YS (corresponding author), Hacettepe Univ, Chem Engn Dept, Fac Engn, Ankara, Turkiye.</t>
  </si>
  <si>
    <t>gorkem.polat@hacettepe.edu.tr; ezgi.turkes@hacettepe.edu.tr; yesims@hacettepe.edu.tr</t>
  </si>
  <si>
    <t>TUBITAK; Scientific and Technical Research Council of Turkey [2210-C]</t>
  </si>
  <si>
    <t>TUBITAK(Turkiye Bilimsel ve Teknolojik Arastirma Kurumu (TUBITAK)); Scientific and Technical Research Council of Turkey(Turkiye Bilimsel ve Teknolojik Arastirma Kurumu (TUBITAK))</t>
  </si>
  <si>
    <t>Acknowledgments The authors would like to thank TUBITAK, the Scientific and Technical Research Council of Turkey, for the 2210-C program.</t>
  </si>
  <si>
    <t>H3IZ1</t>
  </si>
  <si>
    <t>WOS:000994949200019</t>
  </si>
  <si>
    <t>Bio-sorption of bisphenol a by the dried- and inactivated-lichen (Pseudoevernia furfuracea) biomass from aqueous solutions</t>
  </si>
  <si>
    <t>Bisphenol A (BPA), which is known as one of the endocrine-disrupting chemicals (EDCs) with hydrophilic hydroxyl groups and hydrophobic aromatic groups, has been widely used in plastic industries. The chemical waste from the industry is sometimes discharges into lakes and rivers, and then these surface waters can be polluted. So, this article aims to investigate the bio-sorption process of BPA by the inactivated lichen (Pseudoevernia furfuracea) biomass from aqueous solution. At initial, the effect of the variables such as initial BPA concentration, solution pH, temperature, contact time and recovery rate on the bio-sorption process was investigated. From the optimal results, it has been observed that the highest removal efficiency is approximately 64% at a contact time of 3-h, the bio-sorbent concentration of 9 mg/L, initial BPA concentration of 40 mg/L, and agitation speed of 150 rpm at pH 5.0. In explaining the bio-sorption potential of lichen biomass, Langmuir and/or Redlich-Peterson isotherms with two and three parameters, respectively were observed to be better fit with the experimental isotherm data (R-2 = 0.982). From equilibrium data based on difference between the measured and predicted results (q(e, exp)and q(e, pre)), it was shown that biosorption of BPA could be best described by the pseudo second order kinetic model with minimum sum of square error of 2.61%. In addition, it shows more film diffusion, and partly pore diffusion in linearity region in terms of kinetic sorption behaviors of BPA in the rate-limiting step as well as intra-particle diffusion according to Boyd's kinetic model with better regression coefficient than 0.981 when compared to the other used kinetic models, including Bangham's pore diffusion and Elovich kinetic models (with R(2)of 0.958 and 0.929). The thermodynamic studies showed that the biosorption process was spontaneous, and chemically feasible. Therefore, due to be low-cost, eco-friendly character, wide availability and easily accessible, the lichen biomass could be used as a promising bio-sorbent for the removal of BPA from the environment and wastewater effluents.</t>
  </si>
  <si>
    <t>10.1007/s40201-020-00508-6</t>
  </si>
  <si>
    <t>Senol, ZM; Gul, UD; Gurkan, R</t>
  </si>
  <si>
    <t>Senol, Zeynep Mine; Gul, Ulkuye Dudu; Gurkan, Ramazan</t>
  </si>
  <si>
    <t>JOURNAL OF ENVIRONMENTAL HEALTH SCIENCE AND ENGINEERING</t>
  </si>
  <si>
    <t>Lichen; Pseudoevernia furfuracea; Bio-sorption; Bisphenol A</t>
  </si>
  <si>
    <t>ACTIVATED CARBON; EVERNIA-PRUNASTRI; ADSORPTION; REMOVAL; BIOSORPTION; ANTIOXIDANT; WATER; DERIVATIVES; ADSORBENTS; ISOTHERM</t>
  </si>
  <si>
    <t>[Senol, Zeynep Mine] Cumhuriyet Univ, Zara Vocat Sch, Dept Food Technol, TR-58140 Sivas, Turkey; [Gul, Ulkuye Dudu] Bilecik Seyh Edebali Univ, Vocat Sch Hlth Sci, TR-11230 Bilecik, Turkey; [Gurkan, Ramazan] Cumhuriyet Univ, Fac Sci, Dept Chem, TR-58140 Sivas, Turkey</t>
  </si>
  <si>
    <t>Cumhuriyet University; Bilecik Seyh Edebali University; Cumhuriyet University</t>
  </si>
  <si>
    <t>Senol, ZM (corresponding author), Cumhuriyet Univ, Zara Vocat Sch, Dept Food Technol, TR-58140 Sivas, Turkey.</t>
  </si>
  <si>
    <t>msenol@cumhuriyet.edu.tr</t>
  </si>
  <si>
    <t>Şenol, Zeynep Mine/HHC-9326-2022; GÜL, Ülküye Dudu/AAA-9340-2021</t>
  </si>
  <si>
    <t>Hasdemir, Zeynep Mine/0000-0002-5250-1267</t>
  </si>
  <si>
    <t>Cumhuriyet University Scientific Research Projects Commission</t>
  </si>
  <si>
    <t>Cumhuriyet University Scientific Research Projects Commission(Cumhuriyet University)</t>
  </si>
  <si>
    <t>The present study was partly supported by the Cumhuriyet University Scientific Research Projects Commission.</t>
  </si>
  <si>
    <t>2052-336X</t>
  </si>
  <si>
    <t>J ENVIRON HEALTH SCI</t>
  </si>
  <si>
    <t>J. Environ. Health Sci. Eng</t>
  </si>
  <si>
    <t>JUN 2020</t>
  </si>
  <si>
    <t>PE2YJ</t>
  </si>
  <si>
    <t>WOS:000546971000001</t>
  </si>
  <si>
    <t>Fluoro-surfactant as a tool for both controlling and measuring the size of the organoclay aggregates</t>
  </si>
  <si>
    <t>A novel technique based on steady state fluorescence measurements was developed to study the cluster-cluster aggregation and sedimentation kinetics of an organoclay, SB-1, a quaternary ammonium compound of smectite clay. Pyranine (8-hydroxypyrene-1, 3, 6-trisulphonic acid, trisodium salt; POH) was used as a fluoro-surfactant, for which the maximum of the spectra appears at 510 nm wavelength in pure water above pH5.5. The maximum shifts to 430 nm wavelengths when pyranine is bonded to the organoclay particles via electrostatic interactions. It was observed that the average size of the aggregates increases above a critical pyranine/organoclay ratio, similar to 0.1 (w/w), due to the bridging effect of pyranine, while it acts as a deflocculant for lower pyranine/organoclay ratios. It was shown that the fluorescence intensity from the pyranine bonded-aggregates monitors the average size of these aggregates, and that changes in the intensity during the sedimentation process can be used to measure the fractal dimension of the aggregates as a function of the organoclay concentration. (c) 2005 Elsevier B.V All rights reserved.</t>
  </si>
  <si>
    <t>10.1016/j.clay.2005.06.001</t>
  </si>
  <si>
    <t>Yilmaz, Y; Alemdar, A</t>
  </si>
  <si>
    <t>APPLIED CLAY SCIENCE</t>
  </si>
  <si>
    <t>fluorescence spectroscopy; fractal dimension; fluoro-surfactant; organoclay; mobility; plastic viscosity</t>
  </si>
  <si>
    <t>FLUORESCENCE TECHNIQUE; KINETIC AGGREGATION; METHYL-METHACRYLATE; GOLD COLLOIDS; POLYMERIZATION; PROBES; TRANSITION; ADSORPTION; GELS</t>
  </si>
  <si>
    <t>Istanbul Tech Univ, Dept Phys, TR-34469 Istanbul, Turkey</t>
  </si>
  <si>
    <t>Alemdar, A (corresponding author), Univ Toronto, Dept Mech &amp; Ind Engn, 5 Kings Coll Rd, Toronto, ON M5S 3G8, Canada.</t>
  </si>
  <si>
    <t>ayse@mie.utoronto.ca</t>
  </si>
  <si>
    <t>Alemdar, Ayse/ABB-3774-2020; yilmaz, yasar/D-6190-2014</t>
  </si>
  <si>
    <t>yilmaz, yasar/0000-0003-2352-4723</t>
  </si>
  <si>
    <t>0169-1317</t>
  </si>
  <si>
    <t>1872-9053</t>
  </si>
  <si>
    <t>APPL CLAY SCI</t>
  </si>
  <si>
    <t>Appl. Clay Sci.</t>
  </si>
  <si>
    <t>3-4</t>
  </si>
  <si>
    <t>Chemistry, Physical; Materials Science, Multidisciplinary; Mineralogy</t>
  </si>
  <si>
    <t>Chemistry; Materials Science; Mineralogy</t>
  </si>
  <si>
    <t>990PN</t>
  </si>
  <si>
    <t>WOS:000233755800002</t>
  </si>
  <si>
    <t>The possibility of vermiculite, sunflower stalk and wheat stalk using for thermal insulation material production</t>
  </si>
  <si>
    <t>In order to reduce heating costs in winter and cooling costs in summer, buildings are thermally insulated. In Turkey, large amounts of sunflower and wheat are produced every year. After production, sunflower and wheat stalks, create a serious storage problem. When these waste materials are used in houses for heating purposes, they cause environmental pollution. On the other hand, a large amount of vermiculite mineral is obtained during the natural wear of mica in Malatya and Sivas mines in Turkey. This mineral is capable to expand at high temperatures. A new insulation material produced by using vermiculite, sunflower stalk, wheat stalk and gypsum was investigated in this study as an alternative to non-renewable plastic-based synthetic insulation materials. The physical, mechanical and engineering properties of the samples were determined and the values were compared with the products on the market. The proposed compressed insulation material including vermiculite, sunflower stalk, wheat stalk and gypsum has a great potential as an insulating construction material with a thermal conductivity coefficient of 0.063-0.334 W/mK, a compressive strength of about 0.363 MPa and a density of 0.166-0.302 g/cm(3).</t>
  </si>
  <si>
    <t>10.1016/j.tsep.2020.100567</t>
  </si>
  <si>
    <t>Binici, H; Aksogan, O; Dincer, A; Luga, E; Eken, M; Isikaltun, O</t>
  </si>
  <si>
    <t>Binici, Hanifi; Aksogan, Orhan; Dincer, Aytac; Luga, Erion; Eken, Mustafa; Isikaltun, Ozge</t>
  </si>
  <si>
    <t>THERMAL SCIENCE AND ENGINEERING PROGRESS</t>
  </si>
  <si>
    <t>Vermiculite; Sunflower stalk; Wheat stalk; Thermal insulation</t>
  </si>
  <si>
    <t>ACOUSTICAL PROPERTIES; WASTE; STRAW; FIBERS; BARITE; CONDUCTIVITY; MANUFACTURE; PERFORMANCE; COLEMANITE; CONCRETE</t>
  </si>
  <si>
    <t>[Binici, Hanifi; Aksogan, Orhan] Nisantasi Univ, Dept Civil Engn, Tasyoncast St,1V, TR-34481742 Istanbul, Turkey; [Aksogan, Orhan] Toros Univ, Dept Civil Engn, TR-33140 Mersin, Turkey; [Aksogan, Orhan; Dincer, Aytac] Kahramanmaras Sutcu Imam Univ, Kahramanmaras, Turkey; [Aksogan, Orhan; Luga, Erion] Epoka Univ, Dept Civil Engn, Tirana, Albania; [Aksogan, Orhan; Eken, Mustafa] Istiklal Univ, Elbistan Vocat Sch, Kahramanmaras, Turkey; [Aksogan, Orhan; Isikaltun, Ozge] KSU, Dept Civil Engn, Kahramanmaras, Turkey</t>
  </si>
  <si>
    <t>Nisantasi University; Toros University; Kahramanmaras Sutcu Imam University; Kahramanmaras Istiklal University; Kahramanmaras Sutcu Imam University</t>
  </si>
  <si>
    <t>Binici, H (corresponding author), Nisantasi Univ, Dept Civil Engn, Tasyoncast St,1V, TR-34481742 Istanbul, Turkey.</t>
  </si>
  <si>
    <t>hanifi.binici@nisantasi.edu.tr; aksogan@cu.edu.tr; eluga@epoka.edu.al; meken@ksu.edu.tr</t>
  </si>
  <si>
    <t>Luga, Erion/AAQ-5415-2020</t>
  </si>
  <si>
    <t>Luga, Erion/0000-0002-7710-5367</t>
  </si>
  <si>
    <t>2451-9049</t>
  </si>
  <si>
    <t>THERM SCI ENG PROG</t>
  </si>
  <si>
    <t>Therm. Sci. Eng. Prog.</t>
  </si>
  <si>
    <t>Thermodynamics; Energy &amp; Fuels; Engineering, Mechanical; Mechanics</t>
  </si>
  <si>
    <t>Thermodynamics; Energy &amp; Fuels; Engineering; Mechanics</t>
  </si>
  <si>
    <t>QM2EJ</t>
  </si>
  <si>
    <t>WOS:000621593000049</t>
  </si>
  <si>
    <t>Poly(styrene-co-maleic anhydride)-graft-fatty acids as novel solid-solid PCMs for thermal energy storage</t>
  </si>
  <si>
    <t>A solid-solid phase change material (S-SPCM) can store and release a specific amount of latent heat during its phase transition. In this regard, poly(styrene-co-maleic anhydride) (SMA)-graft-fatty acids (FA) copolymers were synthesized as novel S-SPCMs for thermal energy storage (TES). The chemical structures of the SMA-g-FA copolymers were characterized by proton nuclear magnetic resonance (H-1 NMR) and Fourier transform infrared (FT-IR) spectroscopy techniques. The phase transformations of the copolymers form crystalline phase to amorphous phase were monitored using polarized optical microscopy (POM). The latent heat TES (LHTES) properties, thermal cycling reliability, and thermal stability of the S-SPCMs were investigated by differential scanning calorimetry and thermogravimetric analysis methods. The SMA-g-FA copolymers produced as S-SPCMs showed solid-solid phase transitions at about 40 degrees C-60 degrees C range and had latent heat storage and release ability between 84 and 127 J/g, respectively. The S-SPCMs had stable chemical structures and reliable LHTES characteristics even after 5,000 thermal cycling. They had reasonable thermal conductivity value changed in the range of 0.15-0.19 W/mK. Furthermore, it was concluded that the SMA-g-FA copolymers can be considered as promising S-SPCMs for TES utilizations. POLYM. ENG. SCI., 59:E337-E347, 2019. (c) 2019 Society of Plastics Engineers</t>
  </si>
  <si>
    <t>10.1002/pen.25064</t>
  </si>
  <si>
    <t>Sari, A; Bicer, A; Alkan, C</t>
  </si>
  <si>
    <t>Sari, Ahmet; Bicer, Alper; Alkan, Cemil</t>
  </si>
  <si>
    <t>PHASE-CHANGE MATERIALS; CROSS-LINKING; POLYETHYLENE-GLYCOL; COPOLYMERS; POLYURETHANE; PERFORMANCE; TRANSITION</t>
  </si>
  <si>
    <t>[Sari, Ahmet] Karadeniz Tech Univ, Dept Met &amp; Mat Engn, TR-61080 Trabzon, Turkey; [Sari, Ahmet] KFUPM, Ctr Res Excellence Renewable Energy CORERE, Res Inst, Dhahran, Saudi Arabia; [Bicer, Alper; Alkan, Cemil] Gaziosmanpasa Univ, Dept Chem, TR-60240 Tokat, Turkey</t>
  </si>
  <si>
    <t>Karadeniz Technical University; King Fahd University of Petroleum &amp; Minerals; Gaziosmanpasa University</t>
  </si>
  <si>
    <t>Sari, A (corresponding author), Karadeniz Tech Univ, Dept Met &amp; Mat Engn, TR-61080 Trabzon, Turkey.;Sari, A (corresponding author), KFUPM, Ctr Res Excellence Renewable Energy CORERE, Res Inst, Dhahran, Saudi Arabia.</t>
  </si>
  <si>
    <t>ahmet.sari@ktu.edu.tr</t>
  </si>
  <si>
    <t>Alkan, Cemil/X-2615-2019; Sari, Ahmet/Y-4372-2019; Alkan, Cemil/AAA-1952-2021; SARI, Ahmet/K-9855-2015</t>
  </si>
  <si>
    <t>Alkan, Cemil/0000-0002-1509-4789; Sari, Ahmet/0000-0002-7452-083X; SARI, Ahmet/0000-0002-7452-083X</t>
  </si>
  <si>
    <t>Scientific and Technological Research Council of Turkey (TUBITAK) [109T190]</t>
  </si>
  <si>
    <t>Contract grant sponsor: Scientific and Technological Research Council of Turkey (TUBITAK); contract grant number: 109T190.</t>
  </si>
  <si>
    <t>E337</t>
  </si>
  <si>
    <t>E347</t>
  </si>
  <si>
    <t>HO1JT</t>
  </si>
  <si>
    <t>WOS:000460662200036</t>
  </si>
  <si>
    <t>The Effects of Additives on the Biodegradation of Polycaprolactone Composites</t>
  </si>
  <si>
    <t>Because environmental pollution caused by plastic waste is a major problem investigations concerning biodegradable packaging are important and required. In this study, the biodegradation of PCL composite films with organic (glycerol monooleate and oleic acid) and inorganic additives (organo nano clay) was investigated to understand which additive and the amount of additive was more effective for biodegradation. The relationship between the degree of crystallinity and the effect of additives on the biodegradability of polycaprolactone (PCL) was examined. PCL composite films were prepared using organo nano clay (0.1-0.4-1-3 wt%) and oleic acid (1-3-5 wt%) or GMO (1-3-5 wt%). The 35 films prepared with PCL (P), clay (C), oleic acid (O), or glycerol monooleate (G) are coded as P_C#wt%_O (or G)#wt%. The composite films, P_C0.4_O5 contains 0.4 wt% clay and 5 wt% oleic acid and the P_C3_G1 contains 3 wt% clay and 1 wt% glycerol monooleate. The biodegradation of PCL films in simulated soil was studied for 36 months. The films were periodically removed from the simulated soil and film thicknesses, weight losses, visual changes, crystal structures, and a functional group analyses were performed. PCL composite films are separated into three groups, depending on degradation time, (1) films that degraded before 8 months (fast degradation), (2) films that degraded around 24 months (similar to neat PCL), and (3) films that take longer to degrade (slow degradation). The films in the first group are PCL films with 1 and 3 wt% clay additive and they begin to biodegrade at the 5th month. However, a composite film of PCL with only 0.4 wt% clay and 5 wt% GMO addition has the shortest degradation time and degraded in 5 months. The films in the last group are; P_G3, P_G5, P_C0.1, P_C0.1_O1, and P_C0.1_O5 and they took around 30 months for biodegradation. It was observed that increasing the organo nanoclay additive increases the biodegradability by disrupting the crystal structure and causing a defective crystal formation. The addition of GMO with organo nano clay also accelerates biodegradation. The addition of organo nano clay in an amount as small as 0.1 wt% acts as the nucleating agent, increases the degree of crystallinity of the PCL composites, and slows the biodegradation period by increasing the time.</t>
  </si>
  <si>
    <t>10.1007/s10924-017-1029-y</t>
  </si>
  <si>
    <t>Cesur, S</t>
  </si>
  <si>
    <t>Cesur, Serap</t>
  </si>
  <si>
    <t>JOURNAL OF POLYMERS AND THE ENVIRONMENT</t>
  </si>
  <si>
    <t>Polycaprolactone; Biodegradation; Crystallinity; Soil degradation; Organo nano clay</t>
  </si>
  <si>
    <t>ISOTHERMAL CRYSTALLIZATION; POLYMER BIODEGRADATION; ENZYMATIC DEGRADATION; NANOCOMPOSITE FILMS; THERMAL-DEGRADATION; LOW-DENSITY; DEGRADABILITY; KINETICS</t>
  </si>
  <si>
    <t>[Cesur, Serap] Ege Univ, Dept Chem Engn, Fac Engn, TR-35100 Izmir, Turkey</t>
  </si>
  <si>
    <t>Cesur, S (corresponding author), Ege Univ, Dept Chem Engn, Fac Engn, TR-35100 Izmir, Turkey.</t>
  </si>
  <si>
    <t>serap.cesur@ege.edu.tr</t>
  </si>
  <si>
    <t>Cesur, Serap/I-1153-2019</t>
  </si>
  <si>
    <t>Cesur, Serap/0000-0001-6581-0854</t>
  </si>
  <si>
    <t>Ege University, Scientific Research Project Fund [BAP 11-MUH-041]</t>
  </si>
  <si>
    <t>Ege University, Scientific Research Project Fund(Ege University)</t>
  </si>
  <si>
    <t>This study was supported by Ege University, Scientific Research Project Fund, project BAP 11-MUH-041. The total biodegradation time period of the polymeric composite films was for 3 years and several of my graduate and undergraduate students contributed to the experimental part of this research and I am grateful to them all: Burcu Alp, Tansel Kahraman, Yelda Kucukgoksel, Ayse Beyza Aysan, Cansu Koroglu, Ecem Yildirim, Ece Ulastirici, Ecem Pinar Kaya, and Ceren Selen Apa.</t>
  </si>
  <si>
    <t>1566-2543</t>
  </si>
  <si>
    <t>1572-8919</t>
  </si>
  <si>
    <t>J POLYM ENVIRON</t>
  </si>
  <si>
    <t>J. Polym. Environ.</t>
  </si>
  <si>
    <t>Engineering, Environmental; Polymer Science</t>
  </si>
  <si>
    <t>FZ5NE</t>
  </si>
  <si>
    <t>WOS:000427640000011</t>
  </si>
  <si>
    <t>Plastic detection comb better than visual screening for diagnosis of head louse infestation</t>
  </si>
  <si>
    <t>Finding lice can be difficult in head louse infestation. We compared a new louse detection comb with visual inspection. All children in two rural Turkish schools were screened by the two methods. Those with lice were offered treatment and the results monitored by detection combing Children with nits only were re-screened to identify latent infestations. Using visual inspection we found 214 461 children (46%) with nits but only 30 (6.5%) with live lice. In contrast detection combing found 96 (21%) with live lice. of whom 20 had no nits. Detection combing was 3.84 times more effective than visual inspection for finding live lice. Only 10/138 (7.2%) children with nits and no lice were Found to have active infestation by day 16. We found that the detection comb is significantly (P&lt;0.001) more effective than visual screening for diagnosis, that nits are not a good indicator of active infestation; and that treatment with 1% permethrin was 89.6% effective.</t>
  </si>
  <si>
    <t>10.1017/S0950268807000118</t>
  </si>
  <si>
    <t>Balcioglu, C; Burgess, IF; Limoncu, ME; Sahin, MT; Ozbel, Y; Bilac, C; Kurt, O; Larsen, KS</t>
  </si>
  <si>
    <t>Balcioglu, C.; Burgess, I. F.; Limoncu, M. E.; Sahin, M. T.; Ozbel, Y.; Bilac, C.; Kurt, O.; Larsen, K. S.</t>
  </si>
  <si>
    <t>EPIDEMIOLOGY AND INFECTION</t>
  </si>
  <si>
    <t>PEDICULOSIS CAPITIS; PERMETHRIN; LICE; SCHOOLCHILDREN; RESISTANCE</t>
  </si>
  <si>
    <t>[Burgess, I. F.] Insect Res &amp; Dev Ltd, Med Entomol Ctr, Royston SG8 6QZ, England; [Balcioglu, C.; Limoncu, M. E.; Kurt, O.] Celal Bayar Univ, Sch Med, Dept Parasitol, Manisa, Turkey; [Sahin, M. T.; Bilac, C.] Celal Bayar Univ, Sch Med, Dept Dermatol, Manisa, Turkey; [Ozbel, Y.] Ege Univ, Sch Med, Dept Parasitol, Izmir, Turkey; [Larsen, K. S.] KSL Consulting, Helsinge, Denmark</t>
  </si>
  <si>
    <t>Celal Bayar University; Celal Bayar University; Ege University</t>
  </si>
  <si>
    <t>Burgess, IF (corresponding author), Insect Res &amp; Dev Ltd, Med Entomol Ctr, Cambridge House,Barrington Road, Royston SG8 6QZ, England.</t>
  </si>
  <si>
    <t>ian@insectresearch.com</t>
  </si>
  <si>
    <t>OZBEL, YUSUF/AAG-8880-2019; Burgess, Ian/N-2977-2013; Ozbel, Yusuf/Q-1609-2015; KURT, ÖZGÜR/AAG-9543-2019; Kurt, Özgür/AAB-3100-2020; Kurt, Özgür/D-2306-2015</t>
  </si>
  <si>
    <t>Burgess, Ian/0000-0003-0747-3938; Ozbel, Yusuf/0000-0001-8335-1997; KURT, ÖZGÜR/0000-0001-5575-588X; Kurt, Özgür/0000-0001-5575-588X</t>
  </si>
  <si>
    <t>CAMBRIDGE UNIV PRESS</t>
  </si>
  <si>
    <t>32 AVENUE OF THE AMERICAS, NEW YORK, NY 10013-2473 USA</t>
  </si>
  <si>
    <t>0950-2688</t>
  </si>
  <si>
    <t>1469-4409</t>
  </si>
  <si>
    <t>EPIDEMIOL INFECT</t>
  </si>
  <si>
    <t>Epidemiol. Infect.</t>
  </si>
  <si>
    <t>Public, Environmental &amp; Occupational Health; Infectious Diseases</t>
  </si>
  <si>
    <t>367VA</t>
  </si>
  <si>
    <t>WOS:000260579500018</t>
  </si>
  <si>
    <t>Effect of maleic anhydride grafted and gamma-irradiated waste polypropylene on rheological properties of asphalt binder</t>
  </si>
  <si>
    <t>Waste polymers have been employed as a modifier in bitumen to improve the performance of the binders and reduce plastic pollution. Grafting of maleic anhydride (MA) is a method to increase the chemical and physical consistency between the polymer and binder. In this study, maleic anhydride grafted waste polypropylene was employed as a bitumen modifier. Gamma irradiation is applied to waste polypropylene to improve the compatibility. The effects of MA-grafted irradiated waste polypropylene (PPR-gamma-MA) on physical and rheological properties of bitumen were investigated through a test program. Storage stability tests signifies that the gamma irradiation could diminish the phase separation between the modifier and bitumen. The thermorheological tests showed employing PPR-gamma-MA improves the high temperature performance, whilst it has a slightly adverse effect on low temperature performance of bitumen. The results of multiple stress creep recovery (MSCR) test indicate that PPR-gamma-MA reduces the non-recoverable deformation and enhanced elastic recovery of the material, whereas the linear amplitude sweep (LAS) test result signifies PPR-gamma-MA improved the fatigue life of asphalt by increasing fatigue damage resistance under different strain levels. The rheological test results emphasised on the usability of PPR-gamma-MA as a modifier in binders.</t>
  </si>
  <si>
    <t>10.1080/10298436.2022.2046742</t>
  </si>
  <si>
    <t>Gunay, T; Ahmedzade, P; Hassanpour-Kasanagh, S; Fainleib, AM; Starostenko, O</t>
  </si>
  <si>
    <t>Gunay, Taylan; Ahmedzade, Perviz; Hassanpour-Kasanagh, Sajjad; Fainleib, Alexander M.; Starostenko, Olga</t>
  </si>
  <si>
    <t>INTERNATIONAL JOURNAL OF PAVEMENT ENGINEERING</t>
  </si>
  <si>
    <t>Bitumen; waste polymer; grafting; gamma irradiation; rutting; fatigue life</t>
  </si>
  <si>
    <t>MECHANICAL-PROPERTIES; MODIFIED BITUMEN; POLYMER; POLYETHYLENE; TEMPERATURE; SBS; MICROSTRUCTURE; PERFORMANCE; STABILITY; EMULSIONS</t>
  </si>
  <si>
    <t>[Gunay, Taylan; Ahmedzade, Perviz; Hassanpour-Kasanagh, Sajjad] Ege Univ, Dept Civil Engn, Izmir, Turkey; [Hassanpour-Kasanagh, Sajjad] Istanbul Tekn Insaat Corp, Res &amp; Dev Ctr, Istanbul, Turkey; [Fainleib, Alexander M.; Starostenko, Olga] Natl Acad Sci Ukraine, Inst Macromol Chem, Kiev, Ukraine</t>
  </si>
  <si>
    <t>Ege University; National Academy of Sciences Ukraine; Institute of Macromolecular Chemistry, National Academy of Sciences of Ukraine</t>
  </si>
  <si>
    <t>Ahmedzade, P (corresponding author), Ege Univ, Dept Civil Engn, Izmir, Turkey.</t>
  </si>
  <si>
    <t>perviz.ahmedzade@ege.edu.tr</t>
  </si>
  <si>
    <t>Starostenko, Olga/ABG-3154-2021; Hassanpour Kasanagh, Sajjad/AAI-5262-2020</t>
  </si>
  <si>
    <t>Starostenko, Olga/0000-0002-8989-704X; Hassanpour Kasanagh, Sajjad/0000-0001-9484-4324</t>
  </si>
  <si>
    <t>Turkiye Bilimsel ve Teknolojik Arastirma Kurumu</t>
  </si>
  <si>
    <t>Turkiye Bilimsel ve Teknolojik Arastirma Kurumu(Turkiye Bilimsel ve Teknolojik Arastirma Kurumu (TUBITAK))</t>
  </si>
  <si>
    <t>This work was supported by Turkiye Bilimsel ve Teknolojik Arastirma Kurumu.</t>
  </si>
  <si>
    <t>1029-8436</t>
  </si>
  <si>
    <t>1477-268X</t>
  </si>
  <si>
    <t>INT J PAVEMENT ENG</t>
  </si>
  <si>
    <t>Int. J. Pavement Eng.</t>
  </si>
  <si>
    <t>Construction &amp; Building Technology; Engineering, Civil; Materials Science, Characterization &amp; Testing</t>
  </si>
  <si>
    <t>6U5WS</t>
  </si>
  <si>
    <t>WOS:000768065500001</t>
  </si>
  <si>
    <t>Biofilm reactors for value-added products production: An in-depth review</t>
  </si>
  <si>
    <t>Biofilms in the environment can both detrimental and beneficial effects. On the other hand, biofilms can be useful for wastewater treatment, bioremediation, and removal of toxic pollutants. Furthermore, biofilms can be used for the productions of value-added products (VAPs) such as biofuels, polysaccharides, antibiotics, organic acids, vitamins, and enzymes. To establish biofilms in the reactors, solid support materials (SSMs) made of inorganic compounds and various agricultural by-products. For these, several types biofilm reactors (BRs) have been utilized such as stirred tank biofilm (bio)reactor (STBR), fluidized-bed biofilm (bio)reactor (FBR), fixed/packed-bed biofilm (bio)reactor (PBR), rotary disc biofilm (bio)reactor (RDR)/rotating biological contactor (RBC), membrane biofilm (bio)reactor (MBR), moving bed biofilm (bio)reactor (MBBR) and trickling filter biofilm (bio)reactor (TBR). The benefits of BRs: increase product yield, provide logarithmic phase growth, reduce lag phase and fermentation time for repeated fermentations, increase biomass population, provide resistance toward toxic compounds, and improve product recovery. This review paper will summarize the literature for biofilm formation and structure, BR types, biofilm support materials, and various VAPs-produced by using BRs.</t>
  </si>
  <si>
    <t>10.1016/j.bcab.2020.101662</t>
  </si>
  <si>
    <t>Germec, M; Demirci, A; Turhan, I</t>
  </si>
  <si>
    <t>Germec, Mustafa; Demirci, Ali; Turhan, Irfan</t>
  </si>
  <si>
    <t>BIOCATALYSIS AND AGRICULTURAL BIOTECHNOLOGY</t>
  </si>
  <si>
    <t>Biofilm; Biofilm structure; Biofilm reactors; Fermentation process; Value-added products</t>
  </si>
  <si>
    <t>PLASTIC COMPOSITE-SUPPORTS; ROTATING BIOLOGICAL CONTACTOR; LACTIC-ACID FERMENTATION; BACILLUS-SUBTILIS-NATTO; BACTERIAL CELLULOSE PRODUCTION; CONTINUOUS ETHANOL-PRODUCTION; CONTINUOUS SOLVENT PRODUCTION; MIXED CULTURE FERMENTATION; K MENAQUINONE-7 PRODUCTION; FLUIDIZED-BED REACTOR</t>
  </si>
  <si>
    <t>[Germec, Mustafa; Turhan, Irfan] Akdeniz Univ, Dept Food Engn, TR-07058 Antalya, Turkey; [Demirci, Ali] Penn State Univ, Dept Agr &amp; Biol Engn, University Pk, PA 16802 USA</t>
  </si>
  <si>
    <t>Akdeniz University; Pennsylvania Commonwealth System of Higher Education (PCSHE); Pennsylvania State University; Pennsylvania State University - University Park</t>
  </si>
  <si>
    <t>Turhan, I (corresponding author), Akdeniz Univ, Dept Food Engn, TR-07058 Antalya, Turkey.</t>
  </si>
  <si>
    <t>iturhan@akdeniz.edu.tr</t>
  </si>
  <si>
    <t>Germeç, Mustafa/L-2776-2019; Demirci, Ali/AAE-3441-2020</t>
  </si>
  <si>
    <t>Germeç, Mustafa/0000-0003-0060-2477; Demirci, Ali/0000-0002-2049-5026</t>
  </si>
  <si>
    <t>1878-8181</t>
  </si>
  <si>
    <t>BIOCATAL AGR BIOTECH</t>
  </si>
  <si>
    <t>Biocatal. Agric. Biotechnol.</t>
  </si>
  <si>
    <t>Biotechnology &amp; Applied Microbiology</t>
  </si>
  <si>
    <t>ND4KG</t>
  </si>
  <si>
    <t>WOS:000561870000005</t>
  </si>
  <si>
    <t>Autologous Adipose-Derived Tissue Stromal Vascular Fraction (AD-tSVF) for Knee Osteoarthritis</t>
  </si>
  <si>
    <t>Adipose tissue contains adult mesenchymal stem cells that may modulate the metabolism when applied to other tissues. Stromal vascular fraction (SVF) can be isolated from adipose tissue mechanically and/or enzymatically. SVF was recently used to decrease the pain and improve the function of knee osteoarthritis (OA) patients. Primary and/or secondary OA causes inflammation and degeneration in joints, and regenerative approaches that may modify the natural course of the disease are limited. SVF may modulate inflammation and initiate regeneration in joint tissues by initiating a paracrine effect. Chemokines released from SVF may slow down degeneration and stimulate regeneration in joints. In this review, we overviewed articular joint cartilage structures and functions, OA, and macro-, micro-, and nano-fat isolation techniques. Mechanic and enzymatic SVF processing techniques were summarized. Clinical outcomes of adipose tissue derived tissue SVF (AD-tSVF) were evaluated. Medical devices that can mechanically isolate AD-tSVF were listed, and publications referring to such devices were summarized. Recent review manuscripts were also systematically evaluated and included. Transferring adipose tissues and cells has its roots in plastic, reconstructive, and aesthetic surgery. Micro- and nano-fat is also transferred to other organs and tissues to stimulate regeneration as it contains regenerative cells. Minimal manipulation of the adipose tissue is recently preferred to isolate the regenerative cells without disrupting them from their natural environment. The number of patients in the follow-up studies are recently increasing. The duration of follow up is also increasing with favorable outcomes from the short- to mid-term. There are however variations for mean age and the severity of knee OA patients between studies. Positive outcomes are related to the higher number of cells in the AD-tSVF. Repetition of injections and concomitant treatments such as combining the AD-tSVF with platelet rich plasma or hyaluronan are not solidified. Good results were obtained when combined with arthroscopic debridement and micro- or nano-fracture techniques for small-sized cartilage defects. The optimum pressure applied to the tissues and cells during filtration and purification of the AD-tSVF is not specified yet. Quantitative monitoring of articular joint cartilage regeneration by ultrasound, MR, and synovial fluid analysis as well as with second-look arthroscopy could improve our current knowledge on AD-tSVF treatment in knee OA. AD-tSVF isolation techniques and technologies have the potential to improve knee OA treatment. The duration of centrifugation, filtration, washing, and purification should however be standardized. Using gravity-only for isolation and filtration could be a reasonable approach to avoid possible complications of other methodologies.</t>
  </si>
  <si>
    <t>10.3390/ijms232113517</t>
  </si>
  <si>
    <t>Vargel, I; Tuncel, A; Baysal, N; Hartuc-Cevik, I; Korkusuz, F</t>
  </si>
  <si>
    <t>Vargel, Ibrahim; Tuncel, Ali; Baysal, Nilsu; Hartuc-Cevik, Irem; Korkusuz, Feza</t>
  </si>
  <si>
    <t>adipose tissue derived tissue stromal vascular fraction (AD-tSVF); articular joint cartilage; knee osteoarthritis</t>
  </si>
  <si>
    <t>MESENCHYMAL STEM-CELLS; PLATELET-RICH PLASMA; 2ND-LOOK ARTHROSCOPIC FINDINGS; INTRAARTICULAR INJECTION; CLINICAL-TRIALS; HYALURONIC-ACID; FAT GRAFTS; CARTILAGE; THERAPY; REGENERATION</t>
  </si>
  <si>
    <t>[Vargel, Ibrahim] Hacettepe Univ, Med Fac, Dept Plast Reconstruct &amp; Aesthet Surg, TR-06230 Ankara, Turkey; [Tuncel, Ali] Hacettepe Univ, Dept Chem Engn, Engn Fac, Univ Mahallesi, Hacettepe Beytepe Campus 31, TR-06800 Ankara, Turkey; [Baysal, Nilsu] Hacettepe Univ, Med Fac, TR-06230 Ankara, Turkey; [Hartuc-Cevik, Irem; Korkusuz, Feza] Hacettepe Univ, Med Fac, Dept Sports Med, TR-06230 Ankara, Turkey</t>
  </si>
  <si>
    <t>Hacettepe University; Hacettepe University; Ministry of Energy &amp; Natural Resources - Turkey; Hacettepe University; Hacettepe University</t>
  </si>
  <si>
    <t>Korkusuz, F (corresponding author), Hacettepe Univ, Med Fac, Dept Sports Med, TR-06230 Ankara, Turkey.</t>
  </si>
  <si>
    <t>feza.korkusuz@hacettepe.edu.tr</t>
  </si>
  <si>
    <t>Baysal, Nilsu/0000-0001-8493-940X</t>
  </si>
  <si>
    <t>STAR Program of TuBTAK [3210893]</t>
  </si>
  <si>
    <t>STAR Program of TuBTAK</t>
  </si>
  <si>
    <t>Flow-cytometry analysis was conducted, and figures were provided by Hamza Okur of the Hacettepe University Medical Faculty, Department of Pediatric Hematology, Ankara, Turkey. The authors acknowledge the valuable contribution of Disposet Tibbi Urunler AS, Ankara, Turkiye (www.disposet.com) for carrying out the industrial design and research studies. Servet Kurum and Bari scan Onder of Disposet AS guided the concept development. Emre Yavuzo.glu of Palmed AS, Istanbul, Turkey contributed to the production of Table 5. Ali Tuncel and Feza Korkusuz are members of the Turkish Academy of Sciences (TUBA). Nilsu Baysal is funded by the STAR Program of TUB.ITAK Grant # 3210893.</t>
  </si>
  <si>
    <t>6B1CO</t>
  </si>
  <si>
    <t>WOS:000881080300001</t>
  </si>
  <si>
    <t>The effect of platelet rich plasma on angiogenesis in ischemic flaps in VEGFR2-luc mice</t>
  </si>
  <si>
    <t>To improve skin flap healing, one promising strategy in reconstructive surgery might be to optimize platelet rich plasma (PRP) bioactivity and the ischemia-altered expression of genes. We studied both the effect of PRP on ischemic flaps, and whether in vivo bioluminescence imaging (BLI) is a suitable method for the longitudinal monitoring of angiogenesis in surgical wounds. Axial murine skin flaps were created in four experimental groups. In vivo measurements of VEGFR2 expression levels were made every other day until the 14th day. The local VEGF level and microvessel density were quantified on the 14th day via ELISA and immunohistochemistry, and flap survival rates were measured. We demonstrated that PRP and induced ischemia have a beneficial influence on angiogenesis and flap healing. Combining the two resulted in a significantly robust increase in angiogenesis and flap survival rate that was corroborated by bioluminescence imaging of VEGFR2 activity. This study shows that angiogenic effects of PRP may be potentialized by the stimulus of induced ischemia during free flap harvesting, and thus the two procedures appear to have a synergistic effect on flap healing. This study further demonstrates that BLI of modulated genes in reconstructive surgery is a valuable model for longitudinal in vivo evaluation of angiogenesis. (c) 2013 Elsevier Ltd. All rights reserved.</t>
  </si>
  <si>
    <t>10.1016/j.biomaterials.2013.01.016</t>
  </si>
  <si>
    <t>Sonmez, TT; Vinogradov, A; Zor, F; Kweider, N; Lippross, S; Liehn, EA; Naziroglu, M; Holzle, F; Wruck, C; Pufe, T; Tohidnezhad, M</t>
  </si>
  <si>
    <t>Soenmez, Tolga Taha; Vinogradov, Alexandra; Zor, Fatih; Kweider, Nisreen; Lippross, Sebastian; Liehn, Elisa Anamaria; Naziroglu, Mustafa; Hoelzle, Frank; Wruck, Christoph; Pufe, Thomas; Tohidnezhad, Mersedeh</t>
  </si>
  <si>
    <t>BIOMATERIALS</t>
  </si>
  <si>
    <t>Platelet rich plasma; Ischemia; VEGF; VEGFR2; Bioluminescence imaging; Free flap</t>
  </si>
  <si>
    <t>ENDOTHELIAL GROWTH-FACTOR; ISLAND SKIN FLAP; FACIAL PLASTIC-SURGERY; FACTOR VEGF; TISSUE REGENERATION; MYOCUTANEOUS FLAPS; SURGICAL DELAY; EXPRESSION; SURVIVAL; MODEL</t>
  </si>
  <si>
    <t>[Soenmez, Tolga Taha; Hoelzle, Frank] Rhein Westfal TH Aachen, Dept Oral &amp; Maxillofacial Surg, Fac Med, D-52074 Aachen, Germany; [Soenmez, Tolga Taha; Vinogradov, Alexandra; Kweider, Nisreen; Wruck, Christoph; Pufe, Thomas; Tohidnezhad, Mersedeh] RWTH Aachen Univ Hosp, Dept Anat &amp; Cell Biol, D-52074 Aachen, Germany; [Zor, Fatih] GATA Mil Hosp, Dept Plast Reconstruct &amp; Hand Surg, Ankara, Turkey; [Lippross, Sebastian] Univ Hosp Schleswig Holstein, Dept Trauma Surg, D-24105 Kiel, Germany; [Soenmez, Tolga Taha; Liehn, Elisa Anamaria] Rhein Westfal TH Aachen, Inst Mol Cardiovasc Res IMCAR, D-52074 Aachen, Germany; [Naziroglu, Mustafa] Suleyman Demirel Univ, Fac Med, Neurosci Res Ctr, TR-32200 Isparta, Turkey</t>
  </si>
  <si>
    <t>RWTH Aachen University; RWTH Aachen University; RWTH Aachen University Hospital; Gulhane Military Medical Academy; University of Kiel; Schleswig Holstein University Hospital; RWTH Aachen University; Suleyman Demirel University</t>
  </si>
  <si>
    <t>Sonmez, TT (corresponding author), Rhein Westfal TH Aachen, Dept Oral &amp; Maxillofacial Surg, Fac Med, Pauwelsstr 30, D-52074 Aachen, Germany.</t>
  </si>
  <si>
    <t>tsoenmez@ukaachen.de</t>
  </si>
  <si>
    <t>Zor, Fatih/B-4818-2017; Sönmez, Tolga Taha/D-6863-2013; Liehn, Elisa Anamaria/D-9623-2011</t>
  </si>
  <si>
    <t>Zor, Fatih/0000-0002-5851-0711; Sönmez, Tolga Taha/0000-0002-4908-8125; Liehn, Elisa Anamaria/0000-0002-1253-3272; NAZIROGLU, Mustafa/0000-0003-0887-6974</t>
  </si>
  <si>
    <t>Deutsche Forschungsgemeinschaft (DFG) [PU 214/3-2: 4-2, PU 214/3-2: 5-2]; Interdisciplinary Centre for Clinical Research (IZKF) within the faculty of Medicine at the RWTH Aachen University [T9-3, T9-5]</t>
  </si>
  <si>
    <t>Deutsche Forschungsgemeinschaft (DFG)(German Research Foundation (DFG)); Interdisciplinary Centre for Clinical Research (IZKF) within the faculty of Medicine at the RWTH Aachen University</t>
  </si>
  <si>
    <t>We wish to thank Mr. Wolfgang Graulich for the drawing. Furthermore we thank S. Echterhagen, M. Nicolau, L. Shen and A. Ruben for their excellent technical assistance and Assoc. Prof. Cengizhan Acikel from FAVOR laboratories of Gulhane Military Medical Academy, Ankara. This study was supported in part by the Deutsche Forschungsgemeinschaft (DFG) (DFG No. PU 214/3-2: 4-2; 5-2) and by a grant from the Interdisciplinary Centre for Clinical Research (IZKF) within the faculty of Medicine at the RWTH Aachen University (T9-3; T9-5).</t>
  </si>
  <si>
    <t>0142-9612</t>
  </si>
  <si>
    <t>1878-5905</t>
  </si>
  <si>
    <t>Biomaterials</t>
  </si>
  <si>
    <t>Engineering, Biomedical; Materials Science, Biomaterials</t>
  </si>
  <si>
    <t>101AS</t>
  </si>
  <si>
    <t>WOS:000315748200010</t>
  </si>
  <si>
    <t>Determination of Acute Oral Toxicity of Flumethrin in Honey Bees</t>
  </si>
  <si>
    <t>Flumethrin is one of many pesticides used for the control and treatment of varroatosis in honey bees and for the control of mosquitoes and ticks in the environment. For the control of varroatosis, flumethrin is applied to hives formulated as a plastic strip for several weeks. During this time, honey bees are treated topically with flumethrin, and hive products may accumulate the pesticide. Honey bees may indirectly ingest flumethrin through hygienic behaviors during the application period and receive low doses of flumethrin through comb wax remodeling after the application period. The goal of our study was to determine the acute oral toxicity of flumethrin and observe the acute effects on motor coordination in honey bees (Apis mellifera anatoliaca). Six doses (between 0.125 and 4.000 mu g per bee) in a geometric series were studied. The acute oral LD50 of flumethrin was determined to be 0.527 and 0.178 mu g per bee (n = 210, 95% CI) for 24 and 48 h, respectively. Orally administered flumethrin is highly toxic to honey bees. Oral flumethrin disrupted the motor coordination of honey bees. Honey bees that ingested flumethrin exhibited convulsions in the antennae, legs, and wings at low doses. At higher doses, partial and total paralysis in the antennae, legs, wings, proboscises, bodies, and twitches in the antennae and legs were observed.</t>
  </si>
  <si>
    <t>10.1603/EC12055</t>
  </si>
  <si>
    <t>Oruc, HH; Hranitz, JM; Sorucu, A; Duell, M; Cakmak, I; Aydin, L; Orman, A</t>
  </si>
  <si>
    <t>Oruc, H. H.; Hranitz, J. M.; Sorucu, A.; Duell, M.; Cakmak, I.; Aydin, L.; Orman, A.</t>
  </si>
  <si>
    <t>JOURNAL OF ECONOMIC ENTOMOLOGY</t>
  </si>
  <si>
    <t>Apis mellifera anatoliaca; flumethrin; oral; acute toxicity</t>
  </si>
  <si>
    <t>VARROA-JACOBSONI ACARI; APIS-MELLIFERA; HYMENOPTERA; PESTICIDES; APIDAE; INSECTICIDES; RESIDUES</t>
  </si>
  <si>
    <t>[Oruc, H. H.; Sorucu, A.; Cakmak, I.; Aydin, L.] Uludag Univ, Beekeeping Dev Applicat &amp; Res Ctr, TR-16059 Nilufer, Bursa, Turkey; [Oruc, H. H.; Sorucu, A.] Uludag Univ, Fac Vet Med, Dept Pharmacol &amp; Toxicol, TR-16059 Nilufer, Bursa, Turkey; [Hranitz, J. M.; Duell, M.] Bloomsburg Univ, Dept Biol &amp; Allied Hlth Sci, Bloomsburg, PA 17815 USA; [Cakmak, I.] Uludag Univ, Mustafakemalpasa Vocat Sch, TR-16059 Nilufer, Bursa, Turkey; [Aydin, L.] Uludag Univ, Fac Vet Med, Dept Parasitol, TR-16059 Nilufer, Bursa, Turkey; [Orman, A.] Uludag Univ, Fac Vet Med, Dept Zootech, TR-16059 Nilufer, Bursa, Turkey</t>
  </si>
  <si>
    <t>Uludag University; Uludag University; Pennsylvania State System of Higher Education (PASSHE); Bloomsburg University of Pennsylvania; Uludag University; Uludag University; Uludag University</t>
  </si>
  <si>
    <t>Oruc, HH (corresponding author), Uludag Univ, Beekeeping Dev Applicat &amp; Res Ctr, Gorukle Campus, TR-16059 Nilufer, Bursa, Turkey.</t>
  </si>
  <si>
    <t>oruc@uludag.edu.tr</t>
  </si>
  <si>
    <t>Cakmak, Ibrahim/AAH-2558-2021; ORMAN, Abdulkadir/AAG-9134-2021; Oruç, Hasan Hüseyin/AAI-2212-2021</t>
  </si>
  <si>
    <t>ORMAN, Abdulkadir/0000-0001-9138-4422; Oruç, Hasan Hüseyin/0000-0002-5399-2395</t>
  </si>
  <si>
    <t>National Science Foundation [0851651]; Uludag University; Direct For Biological Sciences; Div Of Biological Infrastructure [0851651] Funding Source: National Science Foundation</t>
  </si>
  <si>
    <t>National Science Foundation(National Science Foundation (NSF)); Uludag University(Uludag University); Direct For Biological Sciences; Div Of Biological Infrastructure(National Science Foundation (NSF)NSF - Directorate for Biological Sciences (BIO))</t>
  </si>
  <si>
    <t>We are grateful to students N. Hall, T. Apted, L. Alberts-Bates, L. Pendergraft, and E. Zuniga for their assistance in the field and the laboratory and to H. Wells, J.F. Barthell, and C.I. Abramson for their advice and administrative oversight during the research. We also thank many people for their support of the undergraduate students who participated in this study including W. Radke (Provost, University of Central Oklahoma) and the members of the College of Mathematics and Science Office staff, S. Walker, S. Clement, and K. Clare. We also thank the National Science Foundation for support of U.S. researchers provided by a grant (DUE #0851651). The authors would like to thank Uludag University for supporting the Beekeeping Development-Application and Research Centre (AGAM) where this study was conducted.</t>
  </si>
  <si>
    <t>ENTOMOLOGICAL SOC AMER</t>
  </si>
  <si>
    <t>LANHAM</t>
  </si>
  <si>
    <t>10001 DEREKWOOD LANE, STE 100, LANHAM, MD 20706-4876 USA</t>
  </si>
  <si>
    <t>0022-0493</t>
  </si>
  <si>
    <t>J ECON ENTOMOL</t>
  </si>
  <si>
    <t>J. Econ. Entomol.</t>
  </si>
  <si>
    <t>Entomology</t>
  </si>
  <si>
    <t>055VJ</t>
  </si>
  <si>
    <t>WOS:000312445600003</t>
  </si>
  <si>
    <t>Assessment of biofuels from waste cooking oils for diesel engines in terms of waste-to-energy perspectives</t>
  </si>
  <si>
    <t>In this study, specific biofuel is produced from waste cooking oils and investigated on the basis of waste-to-fuel/energy perspective. Then, the fuel properties (viscosity, density, cloud point, flash point, acid number, lower heating values and pour point) of produced biofuel and diesel are obtained. The exhaust emissions resulting from the combustion of the fuels used in the internal combustion diesel engine at 100 Nm load are experimentally investigated. The kinematic viscosity of produced biofuel is found as 6.270 mm(2)/s. However, the kinematic viscosity of diesel fuel is determined as 3.743 mm(2)/s. The use of biofuel is expected to cause more fuel consumption than the use of diesel fuel. The emissions are also affected by this situation. The density of produced biofuel is obtained to be 882 kg/m(3), while the density of diesel fuel is found as 831 kg/m(3). High fuel density affects emissions and engine performance negatively, and biofuel has a higher density value than diesel fuel. It can be concluded that the waste oil derived biofuel affects are different than diesel fuel affects considering same diesel engine for the comparison. So, it is important to generate new types of biofuels to reach the optimum results for the engine and environment.</t>
  </si>
  <si>
    <t>10.1016/j.seta.2021.101839</t>
  </si>
  <si>
    <t>Yildiz, I; Caliskan, H; Mori, K</t>
  </si>
  <si>
    <t>Yildiz, Ibrahim; Caliskan, Hakan; Mori, Kazutoshi</t>
  </si>
  <si>
    <t>SUSTAINABLE ENERGY TECHNOLOGIES AND ASSESSMENTS</t>
  </si>
  <si>
    <t>Biofuel; Fuel properties; Sustainable fuels; Waste cooking oil; Waste-to-energy</t>
  </si>
  <si>
    <t>EXHAUST EMISSIONS; BIODIESEL FUELS; AIR-POLLUTION; PLASTIC OIL; PERFORMANCE; COMBUSTION; BLENDS; ACID; STRATEGIES; ADDITIVES</t>
  </si>
  <si>
    <t>[Yildiz, Ibrahim] Usak Univ, Grad Educ Inst, Dept Mech Engn, TR-64200 Usak, Turkey; [Caliskan, Hakan] Usak Univ, Fac Engn, Dept Mech Engn, TR-64200 Usak, Turkey; [Mori, Kazutoshi] Teikyo Univ, Fac Sci &amp; Engn, Dept Mech &amp; Precis Syst Engn, Utsunomiya, Tochigi 3208551, Japan</t>
  </si>
  <si>
    <t>Usak University; Usak University; Teikyo University</t>
  </si>
  <si>
    <t>Caliskan, H (corresponding author), Usak Univ, Fac Engn, Dept Mech Engn, TR-64200 Usak, Turkey.</t>
  </si>
  <si>
    <t>hakan.caliskan@usak.edu.tr</t>
  </si>
  <si>
    <t>Yildiz, Ibrahim/F-3861-2018</t>
  </si>
  <si>
    <t>Yildiz, Ibrahim/0000-0002-1103-2951</t>
  </si>
  <si>
    <t>100/2000 Council of Higher Education (YOK) PhD Scholarship Program by YOK; Scientific and Technological Research Council of Turkey (TUBITAK) 2211/C National PhD Scholarship Program in the Priority Fields in Science and Technology by TUBITAK</t>
  </si>
  <si>
    <t>100/2000 Council of Higher Education (YOK) PhD Scholarship Program by YOK; Scientific and Technological Research Council of Turkey (TUBITAK) 2211/C National PhD Scholarship Program in the Priority Fields in Science and Technology by TUBITAK(Turkiye Bilimsel ve Teknolojik Arastirma Kurumu (TUBITAK))</t>
  </si>
  <si>
    <t>Ibrahim Yildiz, one of the authors of present paper, is supported under 100/2000 Council of Higher Education (YOK) PhD Scholarship Program by YOK and The Scientific and Technological Research Council of Turkey (TUB.ITAK) 2211/C National PhD Scholarship Program in the Priority Fields in Science and Technology by TUB.ITAK. The authors are very grateful to the reviewers and editor for their valuable and constructive comments, which led to improving the quality of the paper.</t>
  </si>
  <si>
    <t>2213-1388</t>
  </si>
  <si>
    <t>2213-1396</t>
  </si>
  <si>
    <t>SUSTAIN ENERGY TECHN</t>
  </si>
  <si>
    <t>Sustain. Energy Technol. Assess.</t>
  </si>
  <si>
    <t>Green &amp; Sustainable Science &amp; Technology; Energy &amp; Fuels</t>
  </si>
  <si>
    <t>Science &amp; Technology - Other Topics; Energy &amp; Fuels</t>
  </si>
  <si>
    <t>XU8AA</t>
  </si>
  <si>
    <t>WOS:000734479600005</t>
  </si>
  <si>
    <t>Optical properties and pulse shape discrimination in siloxane-based scintillation detectors</t>
  </si>
  <si>
    <t>The possibility to detect fast neutrons as a distinct signal from that one of gamma-rays background is surely of great importance for several topics, spanning from homeland security to radiation monitoring in nuclear physics research plants. Nowadays, Helium-3 based detectors are extremely expensive, while the use of large volume liquid scintillators presents serious concerns related to spillage risks and waste disposal. A very attractive alternative is the use of commercially available solid scintillators, which exploits an aromatic polymer matrix entrapping very high loadings of primary dye, thereby enabling the use of pulse shape analysis (PSA) to discriminate between fast neutrons and gamma-rays. In this work, we analyse in detail the optical features of a solid scintillator composed by polymethylphenylsiloxane (PMPS) as base polymer loaded with moderate amounts of 2,5-diphenyloxazole (PPO). Furthermore, fluorescence decay kinetics have been correlated to the observed pulse shape discrimination capabilities of this radiation and thermally resistant scintillator, whose performances have been discussed in terms of conformational features and excimers formation revealed by the optical analyses.</t>
  </si>
  <si>
    <t>10.1038/s41598-019-45307-8</t>
  </si>
  <si>
    <t>Marchi, T; Pino, F; Fontana, CL; Quaranta, A; Zanazzi, E; Vesco, M; Cinausero, M; Daldosso, N; Paterlini, V; Gramegna, F; Moretto, S; Collazuol, G; Degerlier, M; Fabris, D; Carturan, SM</t>
  </si>
  <si>
    <t>Marchi, T.; Pino, F.; Fontana, C. L.; Quaranta, A.; Zanazzi, E.; Vesco, M.; Cinausero, M.; Daldosso, N.; Paterlini, V; Gramegna, F.; Moretto, S.; Collazuol, G.; Degerlier, M.; Fabris, D.; Carturan, S. M.</t>
  </si>
  <si>
    <t>PLASTIC SCINTILLATORS; LIQUID SCINTILLATOR; NEUTRON SPECTROSCOPY; ENERGY-TRANSFER; DECAY TIMES; FLUORESCENCE; LUMINESCENCE; PHENYL; TESTS</t>
  </si>
  <si>
    <t>[Marchi, T.; Pino, F.; Vesco, M.; Cinausero, M.; Gramegna, F.; Degerlier, M.; Carturan, S. M.] Ist Nazl Fis Nucl, Lab Nazl Legnaro, Viale Univ 2, I-35020 Padua, Italy; [Pino, F.; Fontana, C. L.; Vesco, M.; Moretto, S.; Collazuol, G.; Carturan, S. M.] Univ Padua, Dept Phys &amp; Astron Galilei, Via Marzolo 8, I-35100 Padua, Italy; [Fontana, C. L.; Moretto, S.; Collazuol, G.; Fabris, D.] Ist Nazl Fis Nucl, Sez Padova, Via Marzolo 8, I-35100 Padua, Italy; [Quaranta, A.; Zanazzi, E.] Ist Nazl Fis Nucl, Trento Inst Fundamental Phys &amp; Applicat, Via Sommarive 14, I-38123 Povo, Trento, Italy; [Quaranta, A.; Zanazzi, E.] Univ Trento, Dept Ind Engn, Via Sommarive 9, I-38123 Povo, Trento, Italy; [Daldosso, N.; Paterlini, V] Univ Verona, Dept Comp Sci, I-37134 Verona, Italy; [Degerlier, M.] Nevsehir Haci Bektas Veli Univ, Sci &amp; Art Fac, Dept Phys, Nevsehir, Turkey; [Marchi, T.] Katholieke Univ Leuven, Inst Kern En Stralingsfys, B-3001 Leuven, Belgium</t>
  </si>
  <si>
    <t>Istituto Nazionale di Fisica Nucleare (INFN); University of Padua; Istituto Nazionale di Fisica Nucleare (INFN); Istituto Nazionale di Fisica Nucleare (INFN); University of Trento; University of Verona; Nevsehir Haci Bektas Veli University; KU Leuven</t>
  </si>
  <si>
    <t>Carturan, SM (corresponding author), Ist Nazl Fis Nucl, Lab Nazl Legnaro, Viale Univ 2, I-35020 Padua, Italy.;Carturan, SM (corresponding author), Univ Padua, Dept Phys &amp; Astron Galilei, Via Marzolo 8, I-35100 Padua, Italy.</t>
  </si>
  <si>
    <t>carturan@lnl.infn.it</t>
  </si>
  <si>
    <t>carturan, sara maria/F-7777-2017; Pino, Felix/AAM-3588-2020; degerlier, meltem/A-6261-2016; Gramegna, Fabiana/B-1377-2012; Collazuol, Gianmaria/C-5670-2012; Marchi, T./A-8545-2012; Paterlini, Veronica/AAQ-8864-2020</t>
  </si>
  <si>
    <t>carturan, sara maria/0000-0002-6702-2867; Pino, Felix/0000-0002-3224-0493; degerlier, meltem/0000-0003-2457-9611; Gramegna, Fabiana/0000-0001-6112-0602; Collazuol, Gianmaria/0000-0002-7876-6124; Marchi, T./0000-0001-7339-8185; Moretto, Sandra/0000-0002-0052-3480</t>
  </si>
  <si>
    <t>INFN, Commissione III, project NUCL-EX; Department of Physics and Astronomy of the University of Padova, project BIRD 2017; Research Foundation-Flanders (FWO) [552 133487]; European Commission (EU-MSCA, MagicTin project) [553 661777]</t>
  </si>
  <si>
    <t>INFN, Commissione III, project NUCL-EX; Department of Physics and Astronomy of the University of Padova, project BIRD 2017; Research Foundation-Flanders (FWO)(FWO); European Commission (EU-MSCA, MagicTin project)</t>
  </si>
  <si>
    <t>The authors are very grateful to Grzegorz Jaworski for useful discussion on size effects on PSD. This work was funded by INFN, Commissione III, project NUCL-EX, and the Department of Physics and Astronomy of the University of Padova, project BIRD 2017. One of the authors, Tommaso Marchi, received funding from the Research Foundation-Flanders (FWO) under contract no. 552 133487 and from the European Commission (EU-MSCA, MagicTin project) under contract no. 553 661777.</t>
  </si>
  <si>
    <t>JUN 24</t>
  </si>
  <si>
    <t>IE8AX</t>
  </si>
  <si>
    <t>WOS:000472597400057</t>
  </si>
  <si>
    <t>Nanomaterials-patterned flexible electrodes for wearable health monitoring: a review</t>
  </si>
  <si>
    <t>Electrodes fabricated on a flexible substrate are a revolutionary development in wearable health monitoring due to their lightweight, breathability, comfort, and flexibility to conform to the curvilinear body shape. Different metallic thin-film and plastic-based substrates lack comfort for long-term monitoring applications. However, the insulating nature of different polymer, fiber, and textile substrates requires the deposition of conductive materials to render interactive functionality to substrates. Besides, the high porosity and flexibility of fiber and textile substrates pose a great challenge for the homogenous deposition of active materials. Printing is an excellent process to produce a flexible conductive textile electrode for wearable health monitoring applications due to its low cost and scalability. This article critically reviews the current state of the art of different textile architectures as a substrate for the deposition of conductive nanomaterials. Furthermore, recent progress in various printing processes of nanomaterials, challenges of printing nanomaterials on textiles, and their health monitoring applications are described systematically.</t>
  </si>
  <si>
    <t>10.1007/s10853-021-06248-8</t>
  </si>
  <si>
    <t>Hasan, MM; Hossain, MM</t>
  </si>
  <si>
    <t>Hasan, Md Mehdi; Hossain, Md Milon</t>
  </si>
  <si>
    <t>REDUCED GRAPHENE OXIDE; STRAIN SENSORS; ELECTROMECHANICAL SENSORS; PERFORMANCE EVALUATION; ELECTRICAL-PROPERTIES; SILVER NANOPARTICLES; MICROFLUIDIC DEVICES; PRINTED ELECTRONICS; TEXTILE ELECTRODES; ACTIVE ELECTRODES</t>
  </si>
  <si>
    <t>[Hasan, Md Mehdi; Hossain, Md Milon] Khulna Univ Engn &amp; Technol, Dept Text Engn, Khulna 9203, Bangladesh; [Hasan, Md Mehdi] Bilkent Univ, UNAM Natl Nanotechnol Res Ctr, TR-06800 Ankara, Turkey; [Hasan, Md Mehdi] Bilkent Univ, Inst Mat Sci &amp; Nanotechnol, TR-06800 Ankara, Turkey; [Hossain, Md Milon] North Carolina State Univ, Dept Text Engn Chem &amp; Sci, Raleigh, NC 27606 USA</t>
  </si>
  <si>
    <t>Khulna University of Engineering &amp; Technology (KUET); Ihsan Dogramaci Bilkent University; Ihsan Dogramaci Bilkent University; North Carolina State University</t>
  </si>
  <si>
    <t>Hossain, MM (corresponding author), Khulna Univ Engn &amp; Technol, Dept Text Engn, Khulna 9203, Bangladesh.;Hossain, MM (corresponding author), North Carolina State Univ, Dept Text Engn Chem &amp; Sci, Raleigh, NC 27606 USA.</t>
  </si>
  <si>
    <t>mhossai5@ncsu.edu</t>
  </si>
  <si>
    <t>Hossain, Md Milon/ABE-3300-2020</t>
  </si>
  <si>
    <t>Hossain, Md Milon/0000-0001-8416-0631</t>
  </si>
  <si>
    <t>TG7RH</t>
  </si>
  <si>
    <t>WOS:000667627500002</t>
  </si>
  <si>
    <t>CoFe2O4-MWCNTs Modified Screen Printed Carbon Electrode Coupled with Magnetic CoFe2O4-MWCNTs Based Solid Phase Microextraction for the Detection of Bisphenol A</t>
  </si>
  <si>
    <t>Background: Bisphenol A (BPA) is an important intermediate in the industrial manufacturing of either polycarbonate plastic or epoxy resins. Bisphenol A and its chemical derivatives are endocrine-disrupting chemicals. BPA is a potent endocrine-disrupting compound (EDC) and its toxicity is widely reported in the literature. Therefore, it is important to develop fast identification methods for the monitoring of BPA in the environment.&amp; para;&amp; para;Methods: In this work, multi-walled carbon nanotubes decorated with cobalt ferrites (CoF) nanoparticles were synthesized by a controlled co-precipitation reaction. The modified multi-walled carbon nanotubes decorated with CoF nanoparticles were applied as a magnetic solid-phase microextraction (M-SPME) sorbent for the extraction of trace levels of BPA from water samples. In detection step, the CoF/MWCNTs modified screen-printed carbon electrodes (CoF/MWCNTs/SPCEs) (named CoF-sensor) were used for the electrochemical detection of BPA. The CoF/MWCNTs modified SPCEs are found to give stable and reproducibility responses to BPA and the sensor exhibited good stability. Finally, the established combined procedure was successfully applied to determine BPA in water samples.&amp; para;&amp; para;Results: In this work, the magnetic CoFe2O4/MWCNTs nanoparticles were used as the electrode modifier and sample pre-concentrator. Firstly, some important electrochemical parameters of the modified electrodes were optimized and the calibration curve of the sensor showed a good linearity in the range of 0.5-50 mu M and the detection limit was 0.2 mu M. Secondly, the important parameters that affect the extraction performance were optimized. Under combined conditions, the calibration graph for the determination of bisphenol A was linear in the range of 0.02-1.5 mu M (4.56-342 mu g/L) and the detection limit was 0.01 mu M. Finally, the combined system was successfully used for the detection of bisphenol A in tap water, drinking water, mineral water with recoveries of 93-102%.&amp; para;&amp; para;Conclusion: A new determination system combined CoF-sensor with M-CoF-SPME was developed for rapid, sensitive and selective detection of traces BPA in aqueous samples. The CoF/MWCNTs exhibited high sensitivity toward BPA with a maximum adsorption capacity of 67.7 mg/g. The nanoparticles were collected using a magnet and reused at least 10 times without substantial degradation in the activity. The analytical method combined miniaturised systems both in sample preparation and in detection stage, with the major advantage of avoiding costly and bulky or unmovable instrumentation. Besides, the M-CoF-SPME-CoF-sensor combination detection system provided many benefits such as cheapness, ease of operation, good sensitivity and repeatability. The determination method developed in current study provides a new option for the determination of BPA in water sample.</t>
  </si>
  <si>
    <t>10.2174/1573413713666171109160816</t>
  </si>
  <si>
    <t>Avan, AA; Filik, H</t>
  </si>
  <si>
    <t>Avan, Asiye Aslihan; Filik, Hayati</t>
  </si>
  <si>
    <t>CURRENT NANOSCIENCE</t>
  </si>
  <si>
    <t>Bisphenol A; cobalt ferrite; magnetic extraction; combined method; voltammetry; water analysis</t>
  </si>
  <si>
    <t>CHROMATOGRAPHY-MASS SPECTROMETRY; PERFORMANCE LIQUID-CHROMATOGRAPHY; AQUEOUS-SOLUTION; WATER SAMPLES; ENDOCRINE DISRUPTORS; ENVIRONMENTAL WATER; HUMAN HEALTH; HUMAN URINE; CONGO RED; ADSORPTION</t>
  </si>
  <si>
    <t>[Avan, Asiye Aslihan; Filik, Hayati] Istanbul Univ, Dept Chem, Fac Engn, TR-34320 Istanbul, Turkey</t>
  </si>
  <si>
    <t>Filik, H (corresponding author), Istanbul Univ, Dept Chem, Fac Engn, TR-34320 Istanbul, Turkey.</t>
  </si>
  <si>
    <t>filik@istanbul.edu.tr</t>
  </si>
  <si>
    <t>AVAN, Asiye Aslıhan/D-2187-2019; Filik, Hayati/D-3783-2019; Filik, Hayati/AAH-9956-2019</t>
  </si>
  <si>
    <t xml:space="preserve">AVAN, Asiye Aslıhan/0000-0002-1654-7647; Filik, Hayati/0000-0002-4151-1355; </t>
  </si>
  <si>
    <t>Istanbul University Scientific Research Fund</t>
  </si>
  <si>
    <t>Istanbul University Scientific Research Fund(Istanbul University)</t>
  </si>
  <si>
    <t>We gratefully acknowledge the Istanbul University Scientific Research Fund for financial support.</t>
  </si>
  <si>
    <t>BENTHAM SCIENCE PUBL LTD</t>
  </si>
  <si>
    <t>SHARJAH</t>
  </si>
  <si>
    <t>EXECUTIVE STE Y-2, PO BOX 7917, SAIF ZONE, 1200 BR SHARJAH, U ARAB EMIRATES</t>
  </si>
  <si>
    <t>1573-4137</t>
  </si>
  <si>
    <t>1875-6786</t>
  </si>
  <si>
    <t>CURR NANOSCI</t>
  </si>
  <si>
    <t>Curr. Nanosci.</t>
  </si>
  <si>
    <t>Biotechnology &amp; Applied Microbiology; Nanoscience &amp; Nanotechnology; Materials Science, Multidisciplinary</t>
  </si>
  <si>
    <t>Biotechnology &amp; Applied Microbiology; Science &amp; Technology - Other Topics; Materials Science</t>
  </si>
  <si>
    <t>GD4IU</t>
  </si>
  <si>
    <t>WOS:000430467600004</t>
  </si>
  <si>
    <t>The effect of sulfuric acid attack on mechanical properties of steel fiber-reinforced concrete containing waste nylon aggregates: Experiments and RSM-based optimization</t>
  </si>
  <si>
    <t>Replacing natural aggregate with recycled plastic has been a strategy to reduce pollution asso-ciated with conventional concrete production and disposal of plastic materials. Due to the pos-sibility of structures subject to acid attacks, it is of value to check the resistance of concrete against these attacks. The present study evaluates the behavior of concrete containing steel fibers and nylon granules under sulfuric acid attack. 9 batches of concrete containing 0, 10, and 20% (by volume) of nylon granules, replacing natural sand and three volume percentage of steel fibers (0, 0.75, and 1.25%) were prepared. First, concretes were placed in a 5% sulfuric acid solution for 0, 45, and 90 days, and then their ultrasonic pulse velocity (UPV) and compressive capacity were evaluated. The microstructural behavior of concretes was also investigated through scanning electron microscopy (SEM) and energy dispersive X-ray microanalysis (EDXMA). Finally, a model using the response surface method (RSM) was proposed to optimize the content of steel fibers and nylon granules in concrete to achieve the maximum strength of concrete in an acidic environ-ment. The results show that increasing the acid exposure time decreases the compressive capacity and UPV of concrete. Concrete with a higher nylon granule content exhibits a lower strength and UPV decline rate due to acid immersion when compared to that with a lower nylon granule content. After optimization, it was found that the optimal volume percentage of steel fibers and nylon granules in concrete after 90 days of acid exposure is 0.11% and 20% to maximize the compressive strength, respectively. The findings of this study help to minimize the extraction of non-renewable natural resources and the environmental impact of waste nylons by developing cleaner and more sustainable concrete.</t>
  </si>
  <si>
    <t>10.1016/j.jobe.2022.105500</t>
  </si>
  <si>
    <t>Arjomandi, A; Mousavi, R; Tayebi, M; Nematzadeh, M; Gholampour, A; Aminian, A; Gencel, O</t>
  </si>
  <si>
    <t>Arjomandi, Arash; Mousavi, Reza; Tayebi, Morteza; Nematzadeh, Mahdi; Gholampour, Aliakbar; Aminian, Arman; Gencel, Osman</t>
  </si>
  <si>
    <t>JOURNAL OF BUILDING ENGINEERING</t>
  </si>
  <si>
    <t>Sulfuric acid attack; Steel fiber; Recycled nylon granules; Ultrasonic pulse velocity (UPV); Microstructure; Response surface method (RSM); Optimization</t>
  </si>
  <si>
    <t>HIGH-STRENGTH CONCRETE; DURABILITY PROPERTIES; EROSION RESISTANCE; PET PARTICLES; CRUMB RUBBER; PERFORMANCE; POLYPROPYLENE; BEHAVIOR; SULFATE; CORROSION</t>
  </si>
  <si>
    <t>[Arjomandi, Arash; Mousavi, Reza; Nematzadeh, Mahdi; Aminian, Arman] Univ Mazandaran, Dept Civil Engn, Babolsar, Iran; [Tayebi, Morteza] Politecn Milan, Dept Civil &amp; Environm Engn, Piazza Leonardo da vinci 32, I-20133 Milan, Italy; [Gholampour, Aliakbar] Flinders Univ S Australia, Coll Sci &amp; Engn, Adelaide, SA, Australia; [Gencel, Osman] Bartin Univ, Civil Engn Dept, TR-74100 Bartin, Turkey</t>
  </si>
  <si>
    <t>University of Mazandaran; Polytechnic University of Milan; Flinders University South Australia; Bartin University</t>
  </si>
  <si>
    <t>Nematzadeh, M (corresponding author), Univ Mazandaran, Dept Civil Engn, Babolsar, Iran.;Tayebi, M (corresponding author), Politecn Milan, Dept Civil &amp; Environm Engn, Piazza Leonardo da vinci 32, I-20133 Milan, Italy.</t>
  </si>
  <si>
    <t>morteza.tayebi@mail.polimi.it; m.nematzadeh@umz.ac.ir</t>
  </si>
  <si>
    <t>Aminian, Arman/ACT-9342-2022; Nematzadeh/AAN-9837-2020</t>
  </si>
  <si>
    <t>Aminian, Arman/0000-0001-5373-7522; Nematzadeh/0000-0002-8065-0542</t>
  </si>
  <si>
    <t>2352-7102</t>
  </si>
  <si>
    <t>J BUILD ENG</t>
  </si>
  <si>
    <t>J. Build. Eng.</t>
  </si>
  <si>
    <t>H7TE2</t>
  </si>
  <si>
    <t>WOS:000997934600001</t>
  </si>
  <si>
    <t>Simultaneous elimination of diethyl phthalate, butylated hydroxy toluene and butylated hydroxy anisole from aqueous medium by an adsorption process on pretreated waste material; investigation of isotherms and neural network modeling</t>
  </si>
  <si>
    <t>Simultaneous removal of three pollutants (diethyl phthalate, butylated hydroxy anisole and butylated hydroxy toluene) that appear in plastic industries' wastewater was the aim of this study. These compounds have harmful effects on human health. The adsorbent, Sesamum indicum seeds' waste, is a natural adsorbent which was obtained freely and abundantly from a local market after being oil-pressed. For performing the treatment process, the pretreated adsorbent was put in contact with a solution of the compounds of interest. The effect of variable parameters like the type of pretreatment solvent, pretreatment time, pH of solution, dosage of adsorbent, adsorption time and the concentration of solution containing the pollutants was investigated. The equilibrium isotherm data were analyzed too. Moreover, an artificial neural network model was progressed to anticipate the adsorption efficiency of the pollutants. The results indicated that the obtained data have a good predictive capability (R-2 = 0.9940). The optimum pretreatment organic solvent was found to be ethyl acetate, and the optimum pretreatment time was 10 min. Furthermore, when the adsorbent dosage and adsorption time increased, the adsorption efficiency enhanced and reached a constant limit. The optimum pH was found to be 9 and the decrease in pollutants' concentration resulted in an increase in wastewater treatment efficiency. The isotherm data for all studied pollutants were fitted well with Langmuir isotherm.</t>
  </si>
  <si>
    <t>10.1007/s13738-020-01863-9</t>
  </si>
  <si>
    <t>Farajzadeh, MA; Pezhhanfar, S; Zarei, M; Mohebbi, A</t>
  </si>
  <si>
    <t>Farajzadeh, Mir Ali; Pezhhanfar, Sakha; Zarei, Mahmoud; Mohebbi, Ali</t>
  </si>
  <si>
    <t>JOURNAL OF THE IRANIAN CHEMICAL SOCIETY</t>
  </si>
  <si>
    <t>Sesamum indicum seeds; Wastewater treatment; Pretreated adsorbent; Gas chromatography; Dispersive liquid-liquid microextraction; Neural network</t>
  </si>
  <si>
    <t>COLOR REMOVAL; WATER TREATMENT; BIODEGRADATION; ESTERS; DYES; RAT; BHT; SAWDUST; ACID; FATE</t>
  </si>
  <si>
    <t>[Farajzadeh, Mir Ali; Pezhhanfar, Sakha; Mohebbi, Ali] Univ Tabriz, Dept Analyt Chem, Fac Chem, Tabriz, Iran; [Farajzadeh, Mir Ali] Near East Univ, Fac Engn, Mersin 10, Nicosia 99138, North Cyprus, Turkey; [Zarei, Mahmoud] Univ Tabriz, Dept Appl Chem, Res Lab Environm Remediat, Fac Chem, Tabriz, Iran</t>
  </si>
  <si>
    <t>University of Tabriz; Near East University; University of Tabriz</t>
  </si>
  <si>
    <t>Farajzadeh, MA (corresponding author), Univ Tabriz, Dept Analyt Chem, Fac Chem, Tabriz, Iran.;Farajzadeh, MA (corresponding author), Near East Univ, Fac Engn, Mersin 10, Nicosia 99138, North Cyprus, Turkey.</t>
  </si>
  <si>
    <t>mafarajzadeh@yahoo.com</t>
  </si>
  <si>
    <t>Mohebbi, Ali/O-5122-2018; Zarei, Mahmoud/AAA-4685-2019; Farajzadeh, Mir Ali/ABF-9644-2020</t>
  </si>
  <si>
    <t>Mohebbi, Ali/0000-0002-0359-3281; Farajzadeh, Mir Ali/0000-0003-3746-0011; Pezhhanfar, Sakha/0000-0002-1296-4873</t>
  </si>
  <si>
    <t>1735-207X</t>
  </si>
  <si>
    <t>1735-2428</t>
  </si>
  <si>
    <t>J IRAN CHEM SOC</t>
  </si>
  <si>
    <t>J. Iran Chem. Soc.</t>
  </si>
  <si>
    <t>LJ0NZ</t>
  </si>
  <si>
    <t>WOS:000529872400012</t>
  </si>
  <si>
    <t>Effect of cyclodextrin-encapsulated beta-carotene on progesterone production by bovine luteal cells</t>
  </si>
  <si>
    <t>Experiments were conducted to examine the effect of cyclodextrin-encapsulated beta -carotene on basal or cholesterol (cyclodextrin-encapsulated), LH and dibutyryl cyclic AMP (dbcAMP)stimulated progesterone production by bovine corpus luteum cells isolated from mid-luteal heifer ovaries by collagenase digestion. Cells were cultured with serum-free DMEM/Ham's F12 medium in serum pre-treated plastic culture dishes for periods of up to 11 days. Medium was replaced after 24h and thereafter every 48h. beta -carotene was added to cultures in a carrier molecule, dimethyl-beta -cyclodextrin, to facilitate dissolution. All treatments were started on day 3 of culture. Treatment of cells with 1 or 2 mu mol/l beta -carotene resulted in sharp inhibition of progesterone production. On the contrary, treatment of cells with 0.1 mu mol/l beta -carotene resulted in significant stimulation (P &lt; 0.05) of both basal and cholesterol-stimulated progesterone secretion. The effect of &lt;beta&gt;-carotene on LH or dbcAMP-stimulated progesterone production was also examined. Treatment of cells with LH or dbcAMP always resulted in stimulation of progesterone secretion (P &lt; 0.001). However, cells treated with LH plus &lt;beta&gt;-carotene or dbcAMP plus beta -carotene both produced significantly (P &lt; 0.01) less progesterone relative to those cells treated with LH or dbcAMP alone on days 7, 9 and 11 of culture. These results indicate that &lt;beta&gt;-carotene can enhance luteal steroidogenesis when present at low concentrations but is inhibitory at higher concentrations and that encapsulation of beta -carotene in cyclodextrin is an effective method of supplying it to cells in culture. (C) 2000 Elsevier Science B.V. All rights reserved.</t>
  </si>
  <si>
    <t>10.1016/S0378-4320(00)00202-5</t>
  </si>
  <si>
    <t>Arikan, S; Rodway, RG</t>
  </si>
  <si>
    <t>beta-carotene; cattle-endocrinology; luteal cells; cyclodextrin; progesterone</t>
  </si>
  <si>
    <t>CORPUS-LUTEUM; ESTROUS-CYCLE; VITAMIN-A; NEOPLASTIC TRANSFORMATION; LIPOPROTEINS; SECRETION; CULTURE; SERUM; STEROIDOGENESIS; SOLUBILIZATION</t>
  </si>
  <si>
    <t>Univ Leeds, Dept Anim Physiol &amp; Nutr, Leeds LS2 9JT, W Yorkshire, England</t>
  </si>
  <si>
    <t>N8 Research Partnership; White Rose University Consortium; University of Leeds</t>
  </si>
  <si>
    <t>Arikan, S (corresponding author), Univ Kirikkale, Fac Vet Med, TR-71100 Kirikkale, Turkey.</t>
  </si>
  <si>
    <t>DEC 29</t>
  </si>
  <si>
    <t>389EU</t>
  </si>
  <si>
    <t>WOS:000166226300002</t>
  </si>
  <si>
    <t>Layer-by-layer assembly of lysozyme with iota-carrageenan and gum Arabic for surface modification of food packaging materials with improved barrier properties</t>
  </si>
  <si>
    <t>The study aimed to investigate the surface modification of biaxially oriented polypropylene (BOPP) by layer-by layer (LbL) assembly of lysozyme (LZ) with two different polysaccharides, iota-carrageenan (IC) and gum arabic (GA), for food packaging applications. The effects of solution pH, adsorption time, elimination of intermediate drying steps were investigated. The LbL film growth was monitored up to 10 deposition steps by UV-Vis spectroscopy and in situ surface plasmon resonance (SPR). The most successful processing conditions for both types of coatings were pH 7-7 combination with intermediate drying and 20 min adsorption time. SPR pointed out a 'dissolution/reconstruction' mechanism in film formation. The thickness and surface morphology of the coatings were characterized by Atomic force microscopy (AFM). The surface roughnesses of LZ/IC coatings were higher than that of LZ/GA coatings indicating a denser matrix in the latter. Deposition of 5 bilayers of LZ/IC and LZ/GA on BOPP resulted in 66.15% and 56.89% reduction in oxygen transmission rate (OTR) of the film, respectively. The corresponding reductions in water vapor transmission rate (WVTR) were 28% and 33.52%, respectively. Elimination of intermediate drying steps resulted in less overall deposition, rougher surfaces, diminished oxygen and water barrier properties. The edible LbL coatings obtained in this study possess good gas barrier properties, which is very promising for their use in the preservation of fresh/fresh-cut produce in combination with modified atmosphere packaging applications. The results promise reduced use of plastic films in food packaging.</t>
  </si>
  <si>
    <t>10.1016/j.colsurfa.2022.128391</t>
  </si>
  <si>
    <t>Koca, N; Bayramoglu, B</t>
  </si>
  <si>
    <t>Koca, Nazan; Bayramoglu, Beste</t>
  </si>
  <si>
    <t>COLLOIDS AND SURFACES A-PHYSICOCHEMICAL AND ENGINEERING ASPECTS</t>
  </si>
  <si>
    <t>Layer-by-layer assembly; Lysozyme; iota-carrageenan; gum Arabic; Food packaging; Biaxially oriented polypropylene</t>
  </si>
  <si>
    <t>MULTILAYER THIN-FILMS; OXYGEN BARRIER; SHELF-LIFE; POLYELECTROLYTE MULTILAYERS; EDIBLE COATINGS; CHITOSAN; ADSORPTION; QUALITY; GROWTH; POLYSACCHARIDES</t>
  </si>
  <si>
    <t>[Koca, Nazan; Bayramoglu, Beste] Izmir Inst Technol, Fac Engn, Dept Food Engn, Gulbahce Campus, TR-35430 Izmir, Turkey; [Koca, Nazan] Univ Roma Tre, Dipartimento Ingn, Via Vito Volterra 62, I-00146 Rome, Italy</t>
  </si>
  <si>
    <t>Izmir Institute of Technology; Roma Tre University</t>
  </si>
  <si>
    <t>Bayramoglu, B (corresponding author), Izmir Inst Technol, Fac Engn, Dept Food Engn, Gulbahce Campus, TR-35430 Izmir, Turkey.</t>
  </si>
  <si>
    <t>nazan.koca@uniroma3.it; bestebayramoglu@iyte.edu.tr</t>
  </si>
  <si>
    <t>Izmir Institute of Technology (IZTECH) Scientific Research Projects Coordination Unit, Turkey [2017.IYTE-07]; Scientific and Technological Research Council of Turkey (TUBITAK), Turkey [114O696]; TUBITAK [114O696]</t>
  </si>
  <si>
    <t>Izmir Institute of Technology (IZTECH) Scientific Research Projects Coordination Unit, Turkey; Scientific and Technological Research Council of Turkey (TUBITAK), Turkey(Turkiye Bilimsel ve Teknolojik Arastirma Kurumu (TUBITAK)); TUBITAK(Turkiye Bilimsel ve Teknolojik Arastirma Kurumu (TUBITAK))</t>
  </si>
  <si>
    <t>This work was supported by the Izmir Institute of Technology (IZTECH) Scientific Research Projects Coordination Unit, Turkey (2017.IYTE-07), and The Scientific and Technological Research Council of Turkey (TUBITAK), Turkey (114O696). Nazan Koca was supported as a scholar by TUBITAK (114O696).</t>
  </si>
  <si>
    <t>0927-7757</t>
  </si>
  <si>
    <t>1873-4359</t>
  </si>
  <si>
    <t>COLLOID SURFACE A</t>
  </si>
  <si>
    <t>Colloid Surf. A-Physicochem. Eng. Asp.</t>
  </si>
  <si>
    <t>APR 20</t>
  </si>
  <si>
    <t>2P9XB</t>
  </si>
  <si>
    <t>WOS:000820083200005</t>
  </si>
  <si>
    <t>Magnetic dispersive solid phase extraction based on carbonized cellulose-ferromagnetic nanocomposite for screening phthalate esters in aqueous samples</t>
  </si>
  <si>
    <t>In this work, a sorbent of the carbonized cellulose-ferromagnetic nanocomposite has been proposed for the magnetic dispersive solid phase extraction of some plasticizers in aqueous samples. Carbonized cellulose nanoparticles were prepared by treatment of cellulose filter paper with concentrated sulfuric acid and then loaded on Fe3O4 nanoparticles using coprecipitation. This sorbent is compatible with aqueous samples and can be considered as a viable sorbent for extraction of plasticizers from aqueous samples. In this study, magnetic dispersive solid phase extraction is followed by a dispersive liquid-liquid microextraction method. This combination makes the proposed approach as an efficient clean-up method with high enrichment factors for the selected analytes. The enriched analytes are monitored by gas chromatography equipped with a flame ionization detector. Parameters affecting the method efficiency were investigated in details. Under the optimized extraction conditions, limits of detection could reach up to of 0.15-0.50 mu g L-1. The satisfactory enrichment factors of 286-403 were obtained, and the extraction recoveries were found to be in the range of 57-80%. Relative standard deviations were in the range of 3-7% for intra-day and inter-day precisions for six replicate extractions at 25 mu g L-1 of each plasticizer. Calibration curves were linear in wide ranges with coefficients of determination &gt;= 0.995. Eventually, efficiency of the prepared sorbent was confirmed by the extraction of some plasticizers from real samples including fruit juices, mineral water, injection solution, cola, and yoghourt drink packed in plastic containers. (C) 2021 Elsevier B.V. All rights reserved.</t>
  </si>
  <si>
    <t>10.1016/j.chroma.2021.462756</t>
  </si>
  <si>
    <t>Aghdam, MB; Farajzadeh, MA; Mogaddam, MRA</t>
  </si>
  <si>
    <t>Aghdam, Mehri Bakhshizadeh; Farajzadeh, Mir Ali; Mogaddam, Mohammad Reza Afshar</t>
  </si>
  <si>
    <t>JOURNAL OF CHROMATOGRAPHY A</t>
  </si>
  <si>
    <t>Magnetic dispersive solid phase extraction; Phthalate esters; Dispersive liquid-liquid microextraction; Aqueous samples</t>
  </si>
  <si>
    <t>LIQUID-LIQUID MICROEXTRACTION; ACID-ESTERS; WATER; CHROMATOGRAPHY; PLASTICIZERS; SEPARATION; NANOTUBES; FRAMEWORK; SORBENTS; REMOVAL</t>
  </si>
  <si>
    <t>[Aghdam, Mehri Bakhshizadeh; Farajzadeh, Mir Ali] Univ Tabriz, Fac Chem, Dept Analyt Chem, Tabriz, Iran; [Farajzadeh, Mir Ali] Near East Univ, Engn Fac, Mersin 10, TR-99138 Nicosia, North Cyprus, Turkey; [Mogaddam, Mohammad Reza Afshar] Tabriz Univ Med Sci, Food &amp; Drug Safety Res Ctr, Tabriz, Iran</t>
  </si>
  <si>
    <t>University of Tabriz; Near East University; Tabriz University of Medical Science</t>
  </si>
  <si>
    <t>Farajzadeh, MA (corresponding author), Univ Tabriz, Fac Chem, Dept Analyt Chem, Tabriz, Iran.</t>
  </si>
  <si>
    <t>mafarajzadeh@tabrizu.ac.ir</t>
  </si>
  <si>
    <t>Afshar Mogaddam, Mohammad Reza/X-7735-2018</t>
  </si>
  <si>
    <t>University of Tabriz; Iran National Science Foundation : INSF [40 0 0853]</t>
  </si>
  <si>
    <t>University of Tabriz; Iran National Science Foundation : INSF(Iran National Science Foundation (INSF))</t>
  </si>
  <si>
    <t>This research was benefited from the financial support from the University of Tabriz and Iran National Science Foundation : INSF (Science Research No. 40 0 0853) .</t>
  </si>
  <si>
    <t>0021-9673</t>
  </si>
  <si>
    <t>1873-3778</t>
  </si>
  <si>
    <t>J CHROMATOGR A</t>
  </si>
  <si>
    <t>J. Chromatogr. A</t>
  </si>
  <si>
    <t>JAN 25</t>
  </si>
  <si>
    <t>Biochemical Research Methods; Chemistry, Analytical</t>
  </si>
  <si>
    <t>XW7IE</t>
  </si>
  <si>
    <t>WOS:000735787200006</t>
  </si>
  <si>
    <t>Is Better Nuclear Weapon Detection Capability Justified?</t>
  </si>
  <si>
    <t>In this paper, we present a decision tree model for evaluation of the next generation radiation portal technology (Advanced Spectroscopic Portals or ASPs) to scan containers entering the United States non-intrusively against nuclear or radiological weapons. Advanced Spectroscopic Portals are compared against the current designs of portal monitors (plastic scintillators or PVTs). We consider five alternative deployment strategies: 1) Exclusive deployment of ASPs replacing all the PVTs currently deployed at U.S. ports of entry, 2) Sequential deployment of ASPs with PVTs installing ASPs in all secondary and some primary inspections areas, 3) Sequential deployment of ASPs with PVTs installing ASPs in only secondary inspections areas, 4) Exclusive deployment of PVTs, 5) Stop deployment of new portal monitors and continue inspections with the current capacity. The baseline solution recommends a hybrid strategy that supports the deployment of new designs of portal monitors for secondary inspections and current designs of portal monitors for primary inspections. However, this solution is found to be very sensitive to the probability of attack attempt, the type of weapon shipped through ports of entry, the probability of successful detonation, detection probabilities and the extra deterrence that each alternative may provide. We also illustrate that the list of most significant parameters depends heavily on the dollar equivalent of overall consequences and the probability of attack attempt. For low probability and low consequence scenarios, false alarm related parameters are found to have more significance. Our extensive exploratory analysis shows that for most parametric combinations, continued deployment of portal monitors is recommended. Exclusive deployment of ASPs is optimal under high risk scenarios. However, we also show that if ASPs fail to improve detection capability, then extra benefits they offer in reducing false alarms may not justify their mass deployment.</t>
  </si>
  <si>
    <t>Bakir, NO; von Winterfeldt, D</t>
  </si>
  <si>
    <t>Bakir, Niyazi Onur; von Winterfeldt, Detlof</t>
  </si>
  <si>
    <t>JOURNAL OF HOMELAND SECURITY AND EMERGENCY MANAGEMENT</t>
  </si>
  <si>
    <t>decision tree; radiation portal monitors; advanced spectroscopic portals; border security; terrorism</t>
  </si>
  <si>
    <t>[Bakir, Niyazi Onur] Bilkent Univ, Ankara, Turkey; [von Winterfeldt, Detlof] Int Inst Appl Syst Anal, Laxenburg, Austria</t>
  </si>
  <si>
    <t>Ihsan Dogramaci Bilkent University; International Institute for Applied Systems Analysis (IIASA)</t>
  </si>
  <si>
    <t>Bakir, NO (corresponding author), Bilkent Univ, Ankara, Turkey.</t>
  </si>
  <si>
    <t>2194-6361</t>
  </si>
  <si>
    <t>1547-7355</t>
  </si>
  <si>
    <t>J HOMEL SECUR EMERG</t>
  </si>
  <si>
    <t>J. Homel. Secur. Emerg. Manag.</t>
  </si>
  <si>
    <t>Public Administration</t>
  </si>
  <si>
    <t>744UH</t>
  </si>
  <si>
    <t>WOS:000289119600002</t>
  </si>
  <si>
    <t>AN INVESTIGATION OF SUBSIDENCE EFFECT ON WASTE DUMP STABILITY IN SOMA-EYNEZ COAL FIELD, TURKEY</t>
  </si>
  <si>
    <t>This research paper deals with an area of subsidence monitored in association with sliding waste dump in Soma-Eynez colliery that is located in westen Turkey. Soma lignite basin is a predominant lignite source that accounts for one third of the total coal production of Turkey. In our case, the initial subsidence was observed after a heavy rain in December, 1992 and took the form of a collapse beneath a road surface on the west side of the permit area. Subsidences continued in the field until the underground coal mining acitivity was ceased in 1998. Besides, putting the situation in a more complicated nature, landslide occurred within the spoil tip which is located at the very cast of the subsidence field, and the spoil tip material moved to the west covering top of the northeastern boundary of subsidence areas. In this case, a complex geomorphological landform arose which is called the subsidence + landslide influence zone. The accurate position of this boundary was crucial to find out the active influence angle. Pertaining to the determination of the subsidence boundary, three different methods were employed and the obtained results were correlated with each other. In the initial method, the possible contact plane in the area was drawn by means of mapping of the subsidence fractures since it was very important to distinguish the morphology that was affected from the movements of masses. The second method was the measurement method of movement magnitude on caliper bars. While no movement was observed on some caliper bars, motion was recorded at some others. Thus, tire northeastern boundary of the subsidence area could be embedded between active and inactive caliper bars. In the latter technique, stability analysis utilizing the related software was conducted. The horizontal distance (x-distance of sliding material toward the west direction) could be identified by changing the values of groundwater level, spoil tip angle and the height of spoil tip on relevant computer software. The total combination of 80 analyses were performed at bench heights of 50, 40 and 20 m for the spoil tip comprising slopes of 37,5%, 40%, 42,5% and 60%. As a result of these analyses, maximum and minimum x-distances were determined as 600 m and 5 10 m, respectively. Provided that the ground point (horizontal distance of 5 10 meters) obtained from the stability analysis is considered in association with the coal production limits underground, the active break angle is obtained nearly 34 degrees. In case the horizontal distance is prospected as 600 m, the value of the active break angle seems to exceed 40 degrees. In this situation, the possible contact plane in the area, which was covered with the landslide material belonging to the spoil tip could be drawn near the point of 510 meters because this distance tends to yield a much coherent break angle with the afore mentioned literature survey. Moreover, landslide is proven to have occurred by the flow of spoil tip material over plastic grayish-green clay belonging to the P, formation, Having defeated the fricitional force at the contact of waste and clay, the marl-limestone blocks slid in the western direction at an angle of 13 degrees in which the slide plane looks more linear than the shape of a bowl.</t>
  </si>
  <si>
    <t>Onargan, T; Kose, H; Pamukcu, C; Kincal, C</t>
  </si>
  <si>
    <t>Onargan, T.; Kose, H.; Pamukcu, C.; Kincal, C.</t>
  </si>
  <si>
    <t>ARCHIVES OF MINING SCIENCES</t>
  </si>
  <si>
    <t>Subsidence; landslide; underground excavation; coal; geophysics; slope stability</t>
  </si>
  <si>
    <t>MINE</t>
  </si>
  <si>
    <t>[Onargan, T.; Kose, H.; Pamukcu, C.] Dokuz Eylul Univ, Dept Min Engn, TR-35160 Buca Izmir, Turkey; [Kincal, C.] Dokuz Eylul Univ, Dept Geol Engn, TR-35160 Buca Izmir, Turkey</t>
  </si>
  <si>
    <t>Onargan, T (corresponding author), Dokuz Eylul Univ, Dept Min Engn, TR-35160 Buca Izmir, Turkey.</t>
  </si>
  <si>
    <t>KINCAL, CEM/E-6816-2016; Onargan, Turgay/P-2165-2019</t>
  </si>
  <si>
    <t>Onargan, Turgay/0000-0003-3949-2594</t>
  </si>
  <si>
    <t>POLISH ACAD SCIENCES, STRATA MECHANICS RES INST</t>
  </si>
  <si>
    <t>UL REYMONTA 27, KRAKOW, 30-059, POLAND</t>
  </si>
  <si>
    <t>0860-7001</t>
  </si>
  <si>
    <t>ARCH MIN SCI</t>
  </si>
  <si>
    <t>Arch. Min. Sci.</t>
  </si>
  <si>
    <t>Mining &amp; Mineral Processing</t>
  </si>
  <si>
    <t>559YU</t>
  </si>
  <si>
    <t>WOS:000274869500006</t>
  </si>
  <si>
    <t>Stem cell-enriched fat injection in aesthetic reconstructive breast surgery</t>
  </si>
  <si>
    <t>Autologous fat grafting is already a very popular technique in plastic surgery for volume augmentation and improvement of irradiated or damaged tissues; however, significant limitations to traditional fat transplantation remain, such as the unpredictability and a variable rate of graft survival. This is particularly true for injections into areas where the circulation and wound healing capacity are impaired by previous events. These observations and clinical limitations have led to the enrichment of the fat graft, a technique called stem cell-enriched tissue transfer (SET) or as also known in the literature cell-assisted lipotransfer (CAL), in which a lipoaspirated fat graft is enriched with the autogenous stromal vascular fraction (SVF). The isolation of the SVF of adipose tissue using enzymatic digestion is the gold standard but is expensive and has practical, legal and administrative concerns. The alternative mechanical SVF isolation methods were previously used to provide significantly lower cell yields; however, combinations of mechanical isolation techniques have also recently been shown to give comparable cell yields. For large volume fat transfers, such as breast tissue injections or transfers into a hostile recipient bed, where the circulation and wound healing capacity are impaired, combining traditional fat grafting with SVF enrichment is a promising strategy to improve the predictability, consistency and efficacy of fat grafting. From the safety perspective, 10 years of experience support the notion that SET does not increase the risk for development of cancer or accelerate the growth of an existing undetected neoplasm. Finally, the fact that 30-50% of stromal vascular cells of that isolated with enzymatic digestion can also be mechanically isolated makes the use of SVF enrichment a much more approachable and viable alternative to traditional fat grafting.</t>
  </si>
  <si>
    <t>10.1007/s12631-019-0176-5</t>
  </si>
  <si>
    <t>Tiryaki, KT; Canikyan, S</t>
  </si>
  <si>
    <t>Tiryaki, K. Tunc; Canikyan, Serli</t>
  </si>
  <si>
    <t>JOURNAL FUR ASTHETISCHE CHIRURGIE</t>
  </si>
  <si>
    <t>German</t>
  </si>
  <si>
    <t>Cell-assisted lipotransfer; Stromal vascular fraction; Fat volume; Fat transplantation; Angiogenesis</t>
  </si>
  <si>
    <t>HUMAN ADIPOSE; AUTOLOGOUS FAT; ASSISTED LIPOTRANSFER; ENDOTHELIAL-CELLS; SUPPORTIVE USE; TISSUE; VIABILITY; DIFFERENTIATION; AUGMENTATION; ADIPOCYTES</t>
  </si>
  <si>
    <t>[Tiryaki, K. Tunc] TiryakiSurgery, 120 Sloane St, London SW1X 9BW, England; [Canikyan, Serli] Cellest Plast Surg Clin, Istanbul, Turkey</t>
  </si>
  <si>
    <t>Tiryaki, KT (corresponding author), TiryakiSurgery, 120 Sloane St, London SW1X 9BW, England.</t>
  </si>
  <si>
    <t>tunc@tunctiryaki.com</t>
  </si>
  <si>
    <t>Tiryaki, Tunç/AAC-6477-2019</t>
  </si>
  <si>
    <t>Tiryaki, Tunç/0000-0002-7710-2414</t>
  </si>
  <si>
    <t>1867-4305</t>
  </si>
  <si>
    <t>1867-4313</t>
  </si>
  <si>
    <t>J ASTHETISCHE CHIR</t>
  </si>
  <si>
    <t>J. Asthetische Chir.</t>
  </si>
  <si>
    <t>HN3JN</t>
  </si>
  <si>
    <t>WOS:000460079700015</t>
  </si>
  <si>
    <t>Measuring individual locomotor rhythms in honey bees, paper wasps and other similar-sized insects</t>
  </si>
  <si>
    <t>The Journal of Experimental Biology Circadian rhythms in social insects are highly plastic and are modulated by multiple factors. In addition, complex behaviors such as sun-compass orientation and time learning are clearly regulated by the circadian system in these organisms. Despite these unique features of social insect clocks, the mechanisms as well as the functional and evolutionary relevance of these traits remain largely unknown. Here we show a modification of the Drosophila activity monitoring (DAM) system that allowed us to measure locomotor rhythms of the honey bee, Apis mellifera (three variants; gAHB, carnica and caucasica), and two paper wasps (Polistes crinitus and Mischocyttarus phthisicus). A side-by-side comparison of the endogenous period under constant darkness (free-running period) led us to the realization that these social insects exhibit significant deviations from the Earth's 24 h rotational period as well as a large degree of inter-individual variation compared with Drosophila. Experiments at different temperatures, using honey bees as a model, revealed that testing the endogenous rhythm at 35 degrees C, which is the hive's core temperature, results in average periods closer to 24 h compared with 25 degrees C (23.8 h at 35 degrees C versus 22.7 h at 25 degrees C). This finding suggests that the degree of tuning of circadian temperature compensation varies among different organisms. We expect that the commercial availability, cost-effectiveness and integrated nature of this monitoring system will facilitate the growth of the circadian field in these social insects and catalyze our understanding of the mechanisms as well as the functional and evolutionary relevance of circadian rhythms.</t>
  </si>
  <si>
    <t>10.1242/jeb.096180</t>
  </si>
  <si>
    <t>Giannoni-Guzman, MA; Avalos, A; Perez, JM; Loperena, EJO; Kayim, M; Medina, JA; Massey, SE; Kence, M; Kence, A; Giray, T; Agosto-Rivera, JL</t>
  </si>
  <si>
    <t>Giannoni-Guzman, Manuel A.; Avalos, Arian; Perez, Jaime Marrero; Loperena, Eduardo J. Otero; Kayim, Mehmet; Medina, Jose Alejandro; Massey, Steve E.; Kence, Meral; Kence, Aykut; Giray, Tugrul; Agosto-Rivera, Jose L.</t>
  </si>
  <si>
    <t>JOURNAL OF EXPERIMENTAL BIOLOGY</t>
  </si>
  <si>
    <t>Circadian rhythms; Locomotor activity; Honey bees; Apis mellifera; Wasps; Mischocyttarus; Polistes; Temperature compensation</t>
  </si>
  <si>
    <t>DIVISION-OF-LABOR; APIS-CERANA-JAPONICA; DROSOPHILA-MELANOGASTER; CIRCADIAN-RHYTHMS; MELLIFERA L.; BEHAVIORAL RHYTHMS; POLISTES-METRICUS; JAPANESE HONEYBEE; EUSOCIAL WASP; PERIOD LOCUS</t>
  </si>
  <si>
    <t>[Giannoni-Guzman, Manuel A.; Avalos, Arian; Perez, Jaime Marrero; Loperena, Eduardo J. Otero; Medina, Jose Alejandro; Massey, Steve E.; Giray, Tugrul; Agosto-Rivera, Jose L.] Univ Puerto Rico, Dept Biol, San Juan, PR 00931 USA; [Kayim, Mehmet; Kence, Meral; Kence, Aykut] Middle E Tech Univ, Dept Biol, TR-06800 Ankara, Turkey</t>
  </si>
  <si>
    <t>University of Puerto Rico; University of Puerto Rico Medical Sciences Campus; Middle East Technical University</t>
  </si>
  <si>
    <t>Agosto-Rivera, JL (corresponding author), Univ Puerto Rico, Dept Biol, POB 23360, San Juan, PR 00931 USA.</t>
  </si>
  <si>
    <t>jose.agosto1@upr.edu</t>
  </si>
  <si>
    <t>Giray, Tugrul/K-9570-2013</t>
  </si>
  <si>
    <t>Giray, Tugrul/0000-0003-4383-4681; Avalos, Arian/0000-0002-4011-3099</t>
  </si>
  <si>
    <t>Toyota FCPR Award [2009-0180]; TUB\TAK [109T547]; METU Research Fund [BAP-08-11-DPT-2002-K120510]; National Science Foundation BDP-LSAMP Award [1026560]; National Institutes of Health RISE Graduate Fellowship Award [2R25GM061151]; Division Of Human Resource Development; Direct For Education and Human Resources [1026560] Funding Source: National Science Foundation</t>
  </si>
  <si>
    <t>Toyota FCPR Award; TUB\TAK(Turkiye Bilimsel ve Teknolojik Arastirma Kurumu (TUBITAK)); METU Research Fund(Middle East Technical University); National Science Foundation BDP-LSAMP Award(National Science Foundation (NSF)); National Institutes of Health RISE Graduate Fellowship Award(United States Department of Health &amp; Human ServicesNational Institutes of Health (NIH) - USA); Division Of Human Resource Development; Direct For Education and Human Resources(National Science Foundation (NSF)NSF - Directorate for STEM Education (EDU))</t>
  </si>
  <si>
    <t>This work was sponsored by the Toyota FCPR Award [2009-0180], TUB\TAK grant [109T547], the METU Research Fund [BAP-08-11-DPT-2002-K120510], the National Science Foundation BDP-LSAMP Award [1026560] and the National Institutes of Health RISE Graduate Fellowship Award [2R25GM061151]. Deposited in PMC for release after 12 months.</t>
  </si>
  <si>
    <t>COMPANY BIOLOGISTS LTD</t>
  </si>
  <si>
    <t>BIDDER BUILDING, STATION RD, HISTON, CAMBRIDGE CB24 9LF, ENGLAND</t>
  </si>
  <si>
    <t>0022-0949</t>
  </si>
  <si>
    <t>1477-9145</t>
  </si>
  <si>
    <t>J EXP BIOL</t>
  </si>
  <si>
    <t>J. Exp. Biol.</t>
  </si>
  <si>
    <t>AF4HX</t>
  </si>
  <si>
    <t>WOS:000334673700018</t>
  </si>
  <si>
    <t>Influence of graphene oxide on the toxicity of polystyrene nanoplastics to the marine microalgae Picochlorum sp.</t>
  </si>
  <si>
    <t>Graphene oxide (GO) features distinctive physical and chemical characteristics; therefore, it has been intensively investigated in environmental remediation as a promising material for clean-up of soil contamination and water purification and used as immobilization material. Plastic is a widespread pollutant, and its breakdown products such as nanoplastics (NPs) should be evaluated for potential harmful effects. This study is aimed to evaluate the influence of GO on the toxicity of polystyrene (PS) NPs to the marine microalgae Picochlorum sp. over a period of 4 weeks. The capability of GO to reduce the toxic effects of PS NPs was assessed through investigating exposure sequence of GO in the presence of 20 nm diameter-sized polystyrene NPs. This was accomplished through five test groups: microalgae pre-exposed to GO prior to incubation with PS NPs, microalgae post-exposed to GO after incubation with PS NPs, microalgae simultaneously exposed to GO and PS NPs, and individual exposure of microalgae to either GO or PS NPs. Cytotoxicity assay results demonstrated that microalgae pre-exposed to GO prior to incubation with PS NPs showed an increased viability and chlorophyll a content. The pre-exposure to GO has reduced the growth inhibition rate (IR) from 50%, for microalgae simultaneously exposed to GO and PS NPs, to 26%, for microalgae pre-exposed to GO. Moreover, the lowest level of reactive oxygen species (ROS) was recorded for microalgae exposed to GO only and microalgae pre-exposed to GO. Fourier-transform infrared (FTIR) analysis, scanning electron microscopy (SEM), and transmission electron microscopy (TEM) observations revealed some morphological changes of both algae and their extracellular polymeric substances (EPS) upon GO and PS NPs exposure combinations. The sequence of GO exposure to aquatic microorganisms might affect the level of harm caused by the PS NPs. Therefore, application of GO as part of an immobilization material and in the removal of pollutants from water should be carefully investigated using different pollutants and aquatic organisms.</t>
  </si>
  <si>
    <t>10.1007/s11356-022-21195-w</t>
  </si>
  <si>
    <t>Yesilay, G; Hazeem, L; Bououdina, M; Cetin, D; Suludere, Z; Barras, A; Boukherroub, R</t>
  </si>
  <si>
    <t>Yesilay, Gamze; Hazeem, Layla; Bououdina, Mohamed; Cetin, Demet; Suludere, Zekiye; Barras, Alexandre; Boukherroub, Rabah</t>
  </si>
  <si>
    <t>Graphene oxide; Polystyrene nanoplastics; Toxicity tests; ROS; Microalgae Picochlorum sp</t>
  </si>
  <si>
    <t>EXTRACELLULAR POLYMERIC SUBSTANCES; WASTE-WATER; PHOTOSYNTHETIC PIGMENT; PLASTIC NANOPARTICLES; SURFACE MODIFICATION; GREEN-ALGAE; IMMOBILIZATION; ADSORPTION; MORPHOLOGY; GROWTH</t>
  </si>
  <si>
    <t>[Yesilay, Gamze] Univ Hlth Sci Turkey, Hamidiye Inst Hlth Sci, Mol Biol &amp; Genet Dept, TR-34668 Istanbul, Turkey; [Hazeem, Layla] Univ Bahrain, Coll Sci, Dept Biol, Sakhir Campus, Zallaq 32038, Bahrain; [Bououdina, Mohamed] Prince Sultan Univ, Fac Humanities &amp; Sci, Dept Math &amp; Sci, Riyadh, Saudi Arabia; [Cetin, Demet] Gazi Univ, Gazi Fac Educ, Dept Math &amp; Sci Educ, TR-06500 Ankara, Turkey; [Suludere, Zekiye] Gazi Univ, Fac Sci, Dept Biol, TR-06500 Ankara, Turkey; [Barras, Alexandre; Boukherroub, Rabah] Univ Lille, Univ Polytech Hauts de France, Cent Lille, CNRS,UMR IEMN 8520, F-59000 Lille, France</t>
  </si>
  <si>
    <t>University of Bahrain; Prince Sultan University; Gazi University; Gazi University; Centre National de la Recherche Scientifique (CNRS); CNRS - Institute for Engineering &amp; Systems Sciences (INSIS); Universite de Lille - ISITE; Centrale Lille; Universite de Lille</t>
  </si>
  <si>
    <t>Yesilay, G (corresponding author), Univ Hlth Sci Turkey, Hamidiye Inst Hlth Sci, Mol Biol &amp; Genet Dept, TR-34668 Istanbul, Turkey.</t>
  </si>
  <si>
    <t>gamze.yesilay@sbu.edu.tr; lhazeem@uob.edu.bh; mboudina@gmail.com; demetcetin@gazi.edu.tr; zekiyes@gazi.edu.tr; alexandre.barras@univ-lille.fr; rabah.boukherroub@univ-lille.fr</t>
  </si>
  <si>
    <t>cetin, demet/GSD-9508-2022; Yesilay, Gamze/X-5694-2018</t>
  </si>
  <si>
    <t>Yesilay, Gamze/0000-0002-3375-8956; SULUDERE, ZEKIYE/0000-0002-1207-5814; Cetin, Demet/0000-0003-1186-4229</t>
  </si>
  <si>
    <t>5F2WZ</t>
  </si>
  <si>
    <t>WOS:000805747500001</t>
  </si>
  <si>
    <t>Mild toxicity of polystyrene and polymethylmethacrylate microplastics in Paracentrotus lividus early life stages</t>
  </si>
  <si>
    <t>The vast category of microplastics in the marine environment, encompassing among other aspects their persistence, degradation and impact on biota, has become an important topic of research. In spite of environmental health concerns, much work has yet to be done on understanding the potential roles of polymer sources, composition and particle sizes in causing adverse effects which have already been observed in a number of biota. The present study was aimed at adding to current knowledge by verifying if, and to what extent, embryogenesis in the sea urchin species Paracentrotus lividus is adversely affected by polystyrene and polymethylmethacrylate virgin microparticles over a size range 1-230 mu m and at concentrations of 0.1-10 mg L-1. Developing embryos which came in contact with the microplastics only after fertilisation did not display a significant increase of developmental defects. Unlike embryo exposures, when P. lividus sperm were exposed to the microplastics or their leachates, modest, yet significant effects were observed, both in terms of decreased fertilisation rate and increase of transmissible damage to offspring. Further, it was noted that larvae more readily ingested polymethylmethacrylate than polystyrene microparticles after 3 days which may represent a route for enhancing the toxicity of the former compared to the latter. Overall, these findings provide evidence for lesser sensitivity of P. lividus early life stages to microplastics compared to other urchins such as Sphaerechinus granularis. In turn, the more robust response of P. lividus highlights the importance of choosing an appropriate test species with the highest sensitivity when investigating mildly harmful materials.</t>
  </si>
  <si>
    <t>10.1016/j.marenvres.2020.105132</t>
  </si>
  <si>
    <t>Thomas, PJ; Oral, R; Pagano, G; Tez, S; Toscanesi, M; Ranieri, P; Trifuoggi, M; Lyons, DM</t>
  </si>
  <si>
    <t>Thomas, Philippe J.; Oral, Rahime; Pagano, Giovanni; Tez, Serkan; Toscanesi, Maria; Ranieri, Pasquale; Trifuoggi, Marco; Lyons, Daniel M.</t>
  </si>
  <si>
    <t>Microplastics; Sea urchins; Early life stages; Embryo; Toxicity; Fertilisation; Offspring; Developmental anomaly</t>
  </si>
  <si>
    <t>MARINE-ENVIRONMENT; LARVAL DEVELOPMENT; PLASTIC DEBRIS; INGESTION; NANOPARTICLES; FISH; FERTILIZATION; POLYETHYLENE; LEACHATE; EXPOSURE</t>
  </si>
  <si>
    <t>[Thomas, Philippe J.] Carleton Univ, Natl Wildlife Res Ctr, Sci &amp; Technol Branch, Environm &amp; Climate Change Canada, Ottawa, ON K1A 0H3, Canada; [Oral, Rahime; Tez, Serkan] Ege Univ, Fac Fisheries, TR-35100 Izmir, Turkey; [Pagano, Giovanni; Toscanesi, Maria; Ranieri, Pasquale; Trifuoggi, Marco] Univ Naples Federico II, ACELAB, Dept Chem Sci, I-80126 Naples, Italy; [Lyons, Daniel M.] Rudjer Boskovic Inst, Ctr Marine Res, HR-52210 Rovinj, Croatia</t>
  </si>
  <si>
    <t>Carleton University; Environment &amp; Climate Change Canada; Canadian Wildlife Service; National Wildlife Research Centre - Canada; Ege University; University of Naples Federico II; Rudjer Boskovic Institute</t>
  </si>
  <si>
    <t>Toscanesi, Maria/AFL-6884-2022; Thomas, Philippe/ABH-9035-2020; Toscanesi, Maria/AAG-6988-2022</t>
  </si>
  <si>
    <t>toscanesi, maria/0000-0002-7802-1261; Tez, Serkan/0000-0002-8397-4518</t>
  </si>
  <si>
    <t>This work has been supported by the Croatian Science Foundation under grant number IP-2018-01-5351, and Environment and Climate Change Canada. The authors are grateful to Dr. Ozge Kozgus Guldu for DLS measurements.</t>
  </si>
  <si>
    <t>OC9SP</t>
  </si>
  <si>
    <t>WOS:000579495700009</t>
  </si>
  <si>
    <t>The control of fungi and mycotoxins by food active packaging: a review</t>
  </si>
  <si>
    <t>Conventionally used petrochemical-based plastics are poorly degradable and cause severe environmental pollution. Alternatively, biopolymers (e.g., polysaccharides, proteins, lipids, and their blends) are biodegradable and environment-friendly, and thus their use in packaging technologies has been on the rise. Spoilage of food by mycotoxigenic fungi poses a severe threat to human and animal health. Hence, because of the adverse effects of synthetic preservatives, active packaging as an effective technique for controlling and decontaminating fungi and related mycotoxins has attracted considerable interest. The current review aims to provide an overview of the prevention of fungi and mycotoxins through active packaging. The impact of different additives on the antifungal and anti-mycotoxigenic functionality of packaging incorporating active films/coatings is also investigated. In addition, active packaging applications to control and decontaminate common fungi and mycotoxins in bakery products, cereal grains, fruits, nuts, and dairy products are also introduced. The results of recent studies have confirmed that biopolymer films and coatings incorporating antimicrobial agents provide great potential for controlling common fungi and mycotoxins and enhancing food quality and safety.</t>
  </si>
  <si>
    <t>10.1080/10408398.2022.2031099</t>
  </si>
  <si>
    <t>Jafarzadeh, S; Hadidi, M; Forough, M; Nafchi, AM; Khaneghah, AM</t>
  </si>
  <si>
    <t>Jafarzadeh, Shima; Hadidi, Milad; Forough, Mehrdad; Nafchi, Abdorreza Mohammadi; Khaneghah, Amin Mousavi</t>
  </si>
  <si>
    <t>Active packaging; biodegradable food packaging; decontamination; food spoilage; food safety; fungi; mycotoxin</t>
  </si>
  <si>
    <t>STARCH EDIBLE FILMS; ESSENTIAL OILS; IN-VITRO; ANTIFUNGAL ACTIVITY; CHITOSAN FILMS; SHELF-LIFE; DECONTAMINATION TECHNOLOGIES; ASPERGILLUS-PARASITICUS; ANTIMICROBIAL ACTIVITY; FUNCTIONAL-PROPERTIES</t>
  </si>
  <si>
    <t>[Jafarzadeh, Shima] Edith Cowan Univ, Sch Engn, Joondalup, WA, Australia; [Hadidi, Milad] Univ Castilla La Mancha, Fac Chem Sci &amp; Technol, Dept Organ Chem, Ciudad Real, Spain; [Forough, Mehrdad] Middle East Tech Univ, Dept Chem, Ankara, Turkey; [Nafchi, Abdorreza Mohammadi] Univ Sains Malaysia, Sch Ind Technol, Food Technol Div, George Town, Malaysia; [Nafchi, Abdorreza Mohammadi] Islamic Azad Univ, Dept Food Sci &amp; Technol, Damghan Branch, Damghan, Iran; [Khaneghah, Amin Mousavi] Univ Estadual Campinas, Fac Food Engn, Dept Food Sci &amp; Nutr, UNICAMP, Campinas, SP, Brazil</t>
  </si>
  <si>
    <t>Edith Cowan University; Universidad de Castilla-La Mancha; Middle East Technical University; Universiti Sains Malaysia; Islamic Azad University; Universidade Estadual de Campinas</t>
  </si>
  <si>
    <t>Jafarzadeh, S (corresponding author), Edith Cowan Univ, Sch Engn, Joondalup, WA, Australia.;Khaneghah, AM (corresponding author), Univ Estadual Campinas, Fac Food Engn, Dept Food Sci &amp; Nutr, UNICAMP, Campinas, SP, Brazil.</t>
  </si>
  <si>
    <t>shimajafar@yahoo.com; mousavi@unicamp.br</t>
  </si>
  <si>
    <t>MOHAMMADI NAFCHI, ABDORREZA/F-8017-2017; Mousavi Khaneghah, Amin/A-5925-2012; Hadidi, Milad/AAL-2212-2021</t>
  </si>
  <si>
    <t>MOHAMMADI NAFCHI, ABDORREZA/0000-0002-6065-5098; Mousavi Khaneghah, Amin/0000-0001-5769-0004; Hadidi, Milad/0000-0002-7444-0266; Forough, Mehrdad/0000-0001-5475-1203</t>
  </si>
  <si>
    <t>Universiti Sains Malaysia [304PTEKIND/6315423]</t>
  </si>
  <si>
    <t>Universiti Sains Malaysia(Universiti Sains Malaysia)</t>
  </si>
  <si>
    <t>This study was supported by a Short-Term Grant [304PTEKIND/6315423] from Universiti Sains Malaysia.</t>
  </si>
  <si>
    <t>2022 JAN 20</t>
  </si>
  <si>
    <t>YO8RV</t>
  </si>
  <si>
    <t>WOS:000748202200001</t>
  </si>
  <si>
    <t>Intravascular MR-monitored balloon angioplasty: An in vivo feasibility study</t>
  </si>
  <si>
    <t>PURPOSE: To develop a new method for monitoring balloon angioplasty by using an intravascular magnetic resonance (MR) imaging technique. MATERIALS AND METHODS: Nine New Zealand White rabbits were used: seven for technique refinement, including surgery, device insertion, stenosis creation, and MR protocol development; and two for the final MR imaging of the balloon angioplasty, The in vivo experimental method involved insertion of a catheter antenna and a balloon catheter, via femoral arteriotomies bilaterally, into the target site of the upper abdominal aorta, where a stenosis was artificially created by binding a plastic cable tie. Then, the entire process of the dilation of the stenosis with balloon inflation was monitored under MR fluoroscopy. RESULTS: Catheter insertions were successful, and a 5-mm-long stenosis of the aorta was produced in all nine rabbits, Eight complete balloon angioplasty procedures were satisfactorily monitored and recorded, showing clearly the stenosis of the aorta at the beginning of the procedure, the dilation of the stenosis during the balloon inflation, and the complete opening of the stenosis after balloon dilation, CONCLUSION: Preliminary results of in vivo balloon angioplasty monitored with intravascular MR imaging are presented, MR fluoroscopy, based on the intravascular MR imaging technique, may represent a potential alternative to x-ray fluoroscopy for guiding interventional treatment of cardiovascular diseases.</t>
  </si>
  <si>
    <t>10.1016/S1051-0443(98)70429-4</t>
  </si>
  <si>
    <t>Yang, XM; Bolster, BD; Kraitchman, DL; Atalar, E</t>
  </si>
  <si>
    <t>JOURNAL OF VASCULAR AND INTERVENTIONAL RADIOLOGY</t>
  </si>
  <si>
    <t>angioplasty, experimental; magnetic resonance (MR), intravascular</t>
  </si>
  <si>
    <t>CATHETER; HEART; INTERVENTIONS; OXYGENATION; ANGIOGRAPHY; ULTRASOUND; ARTIFACTS; DISEASE; MOTION; MODEL</t>
  </si>
  <si>
    <t>Johns Hopkins Univ, Sch Med, Dept Radiol, Baltimore, MD 21287 USA; Johns Hopkins Univ, Sch Med, Dept Biomed Engn, Baltimore, MD 21287 USA; Kuopio Univ Hosp, Depr Clin Radiol, SF-70210 Kuopio, Finland; Bilkent Univ, Dept Elect Engn, Ankara, Turkey</t>
  </si>
  <si>
    <t>Johns Hopkins University; Johns Hopkins University; Kuopio University Hospital; University of Eastern Finland; Ihsan Dogramaci Bilkent University</t>
  </si>
  <si>
    <t>Atalar, E (corresponding author), Johns Hopkins Univ, Sch Med, Dept Radiol, 601 N Caroline St,JHOC 4241, Baltimore, MD 21287 USA.</t>
  </si>
  <si>
    <t>Atalar, Ergin/D-3184-2012</t>
  </si>
  <si>
    <t>Atalar, Ergin/0000-0002-6874-6103</t>
  </si>
  <si>
    <t>NHLBI NIH HHS [R29HL57483] Funding Source: Medline</t>
  </si>
  <si>
    <t>NHLBI NIH HHS(United States Department of Health &amp; Human ServicesNational Institutes of Health (NIH) - USANIH National Heart Lung &amp; Blood Institute (NHLBI))</t>
  </si>
  <si>
    <t>227 EAST WASHINGTON SQ, PHILADELPHIA, PA 19106 USA</t>
  </si>
  <si>
    <t>1051-0443</t>
  </si>
  <si>
    <t>J VASC INTERV RADIOL</t>
  </si>
  <si>
    <t>J. Vasc. Interv. Radiol.</t>
  </si>
  <si>
    <t>Radiology, Nuclear Medicine &amp; Medical Imaging; Peripheral Vascular Disease</t>
  </si>
  <si>
    <t>Radiology, Nuclear Medicine &amp; Medical Imaging; Cardiovascular System &amp; Cardiology</t>
  </si>
  <si>
    <t>141CP</t>
  </si>
  <si>
    <t>Green Submitted, hybrid</t>
  </si>
  <si>
    <t>WOS:000077125300013</t>
  </si>
  <si>
    <t>Demonstration of technical feasibility and viability of whole eye transplantation in a rodent model</t>
  </si>
  <si>
    <t>Introduction: Whole eye transplantation (WET) holds promise for vision restoration in devastating/disabling visual loss (congenital or traumatic) not amenable to surgical or neuroprosthetic treatment options. The eye includes multiple tissues with distinct embryonic lineage and differential antigenicity. Anatomically and immunologically, the eye is unique due to its avascular (cornea) and highly vascular (retina) components. Our goal was to establish technical feasibility, demonstrate graft viability, and evaluate histologic changes in ocular tissues/adnexae in a novel experimental model of WET that included globe, adnexal, optic nerve (ON), and periorbital soft tissues. Methods: Outbred Sprague-Dawley rats (n=5) received heterotopic vascularized WET from donors. Each WET included the entire globe, adnexa, ON, and periorbital soft tissues supplied by the common carotid artery and external jugular vein. Viability and perfusion were confirmed by clinical examination, angiography and magnetic resonance imaging (MRI). Globe, adnexal, and periorbital tissues were analyzed for histopathologic changes, and the ON was examined for neuro-regeneration at study endpoint (30 days) or Banff Grade 3 rejection in the periorbital skin (whichever was earlier). Results: Gross examination confirmed transplant viability and corneal transparency. Average operative duration was 64.0 +/- 5.8 min. Average ischemia time was 26.0 +/- 4.2 min. MRI revealed loss of globe volume by 36.0 +/- 2.8% after transplantation. Histopathology of globe and adnexal tissues showed unique and differential patterns of inflammatory cell infiltration. The ON revealed a neurodegeneration pattern. Conclusion: The present study is the first in the literature to establish an experimental model of WET. This model holds significant potential in investigating mechanistic pathways, monitoring strategies or developing management approaches involving ocular viability, immune rejection, and ON regeneration after WET. (C) 2019 British Association of Plastic, Reconstructive and Aesthetic Surgeons. Published by Elsevier Ltd. All rights reserved.</t>
  </si>
  <si>
    <t>10.1016/j.bjps.2019.05.042</t>
  </si>
  <si>
    <t>Zor, F; Polat, M; Kulahci, Y; Sahin, H; Aral, AM; Erbas, VE; Karagoz, H; Kurt, B; Battal, B; Gorantla, VS</t>
  </si>
  <si>
    <t>Zor, Fatih; Polat, Murat; Kulahci, Yalcin; Sahin, Huseyin; Aral, Ali Mubin; Erbas, Vasil Ercument; Karagoz, Huseyin; Kurt, Bulent; Battal, Bilal; Gorantla, Vijay S.</t>
  </si>
  <si>
    <t>Whole eye transplantation; immunology; rejection; optic nerve; vision restoration; vascularized composite allotransplantation; immunosuppression; nerve regeneration</t>
  </si>
  <si>
    <t>RETINAL GANGLION-CELLS; ISCHEMIA-REPERFUSION INJURY; PERIPHERAL-NERVE GRAFTS; OPTIC-NERVE; VISUAL IMPAIRMENT; ALLOTRANSPLANTATION MODEL; GLOBAL PREVALENCE; VISION IMPAIRMENT; TEMPORAL-TRENDS; BLINDNESS</t>
  </si>
  <si>
    <t>[Zor, Fatih; Gorantla, Vijay S.] Wake Forest Univ Hlth Sci, Wake Forest Inst Regenerat Med, Dept Surg Ophthalmol &amp; Bioengn, Winston Salem, NC 27101 USA; [Zor, Fatih; Polat, Murat; Kulahci, Yalcin] Gulhane Mil Med Acad, Dept Plast &amp; Reconstruct Surg, Ankara, Turkey; [Kulahci, Yalcin] Univ Pittsburgh, Dept Chem Engn, Pittsburgh, PA 15261 USA; [Sahin, Huseyin] Private Cagsu Hosp, Duzce, Turkey; [Aral, Ali Mubin] Univ Pittsburgh, Dept Surg, Pittsburgh, PA USA; [Erbas, Vasil Ercument] Med Pk Gaziantep Hosp, Dept Plast Reconstruct &amp; Aesthet Surg, Gaziantep, Turkey; [Karagoz, Huseyin] Gulhane Mil Med Acad, Haydarpasa Training Hosp, Dept Plast &amp; Reconstruct Surg, Istanbul, Turkey; [Kurt, Bulent] Gulhane Mil Med Acad, Dept Pathol, Ankara, Turkey; [Battal, Bilal] Gulhane Mil Med Acad, Dept Radiol, Ankara, Turkey</t>
  </si>
  <si>
    <t>Wake Forest University; Wake Forest University School of Medicine; Gulhane Military Medical Academy; Pennsylvania Commonwealth System of Higher Education (PCSHE); University of Pittsburgh; Pennsylvania Commonwealth System of Higher Education (PCSHE); University of Pittsburgh; Gulhane Military Medical Academy; Istanbul Haydarpasa Numune Training &amp; Research Hospital; Istanbul Haydarpasa Sultan Abdulhamid Training &amp; Research Hospital; Gulhane Military Medical Academy; Gulhane Military Medical Academy</t>
  </si>
  <si>
    <t>Zor, F; Gorantla, VS (corresponding author), Wake Forest Univ Hlth Sci, Wake Forest Inst Regenerat Med, Dept Surg Ophthalmol &amp; Bioengn, Winston Salem, NC 27101 USA.</t>
  </si>
  <si>
    <t>fzor@wakehealth.edu; vgorantl@wakehealth.edu</t>
  </si>
  <si>
    <t>Kulahci, Yalcin/W-5086-2018; Zor, Fatih/B-4818-2017; Battal, Bilal/H-8874-2019</t>
  </si>
  <si>
    <t>Kulahci, Yalcin/0000-0002-6836-2732; Zor, Fatih/0000-0002-5851-0711; Battal, Bilal/0000-0002-3001-1697; Karagoz, Huseyin/0000-0002-6546-4207</t>
  </si>
  <si>
    <t>Department of Defense [W81XWH-14-1-0488, MR130120]; National Institutes of Health CORE from the Eye and Ear Foundation of Pittsburgh [P30 EY008098]; Research to Prevent Blindness, New York, NY</t>
  </si>
  <si>
    <t>Department of Defense(United States Department of Defense); National Institutes of Health CORE from the Eye and Ear Foundation of Pittsburgh(United States Department of Health &amp; Human ServicesNational Institutes of Health (NIH) - USA); Research to Prevent Blindness, New York, NY(Research to Prevent Blindness (RPB))</t>
  </si>
  <si>
    <t>This study was funded by the Department of Defense Grant Award Number W81XWH-14-1-0488 (Gorantla VS [PI], Log #MR130120) Novel Strategies for Optic Neuroregeneration and Retinal Projection Reintegration After Ocular Trauma. The histopathologic studies were partly supported by the National Institutes of Health CORE Grant P30 EY008098 from the Eye and Ear Foundation of Pittsburgh, PA and an unrestricted Grant from Research to Prevent Blindness, New York, NY. We are sincerely grateful to Katherine Davoli for her excellent support and expertise with histopathologic processing of samples and to Dr. Kira Lathrop for kindly facilitating the use of advanced microscopy services for this study.</t>
  </si>
  <si>
    <t>JB7UU</t>
  </si>
  <si>
    <t>WOS:000488771600005</t>
  </si>
  <si>
    <t>Determination of primary aromatic amines in cold water extract of coloured paper napkin samples by liquid chromatography-tandem mass spectrometry</t>
  </si>
  <si>
    <t>The aim of this study was the optimisation of a multi-analyte method for the analysis of primary aromatic amines ( PAAs) from napkins in order to support official controls and food safety. We developed a UHPLC- MS/ MS method for the simultaneous determination of 36 toxicologically relevant PAAs for paper and board. Good regression coefficients of the calibration curves in a range of 0.992- 0.999 and reproducibilities in a range of 2.3- 15% were obtained. Limits of detections ( LODs) were in the range of 0.03-1.4 mu g l(-1) and recoveries were in a range of 21-110% for all the amines. A total of 93 coloured paper napkin samples from different European countries were bought and extracted with water to determine the PAAs. The results showed that 42 of 93 samples contained at least one PAA. More than half of the detected PAAs are considered as toxic, carcinogenic or probably carcinogenic to humans by the International Agency for Research on Cancer ( IARC), or are classified as such in the European Union legislation on chemicals. Summed concentrations of PAAs in seven samples were higher than 10 mu g l(-1), the limit of summed PAA in the European Union plastic food contact material regulation. Also, eight PAAs, classified as Category 1A and 1B carcinogen in the European Union legislation of chemicals, were detected at concentrations higher than 2 mu g l(-1), exceeding the limit proposed by the Federal Institute for Risk Assessment in Germany. Aniline ( n = 14) was most frequently present in higher concentrations followed by o-toluidine, o-anisidine, 2,4-dimethylaniline and 4-aminoazobenzene. Red, orange, yellow and multicoloured paper napkins contained the highest concentrations of total PAAs (&gt; 10 mu g l(-1)). Although the European Union has not harmonised the legislation of paper and board materials and, thus, there is no specific migration limit for PAAs from paper napkins, the present study showed that coloured paper napkins can contain toxic and carcinogenic PAAs at concentrations that are relevant for monitoring.</t>
  </si>
  <si>
    <t>10.1080/19440049.2016.1184493</t>
  </si>
  <si>
    <t>Yavuz, O; Valzacchi, S; Hoekstra, E; Simoneau, C</t>
  </si>
  <si>
    <t>Yavuz, Oguzhan; Valzacchi, Sandro; Hoekstra, Eddo; Simoneau, Catherine</t>
  </si>
  <si>
    <t>Primary aromatic amines (PAAs); paper napkins; cold water extract; UHPLC-MS/MS</t>
  </si>
  <si>
    <t>MIGRATION; UTENSILS</t>
  </si>
  <si>
    <t>[Yavuz, Oguzhan; Valzacchi, Sandro; Hoekstra, Eddo; Simoneau, Catherine] European Commiss, Joint Res Ctr, Via Enrico Fermi 2749, I-21027 Ispra, VA, Italy; [Yavuz, Oguzhan] Ondokuz Mayis Univ, Fac Vet Med, Dept Pharmacol &amp; Toxicol, TR-55139 Kurupelit, Turkey</t>
  </si>
  <si>
    <t>European Commission Joint Research Centre; EC JRC ISPRA Site; Ondokuz Mayis University</t>
  </si>
  <si>
    <t>Hoekstra, E (corresponding author), European Commiss, Joint Res Ctr, Via Enrico Fermi 2749, I-21027 Ispra, VA, Italy.</t>
  </si>
  <si>
    <t>eddo.hoekstra@ec.europa.eu</t>
  </si>
  <si>
    <t>DR8GX</t>
  </si>
  <si>
    <t>hybrid, Green Published</t>
  </si>
  <si>
    <t>WOS:000380137500017</t>
  </si>
  <si>
    <t>Lignocellulosic Sugar Palm Fibre-Reinforced Thermoplastic Composites: Mechanical, Thermal and Dynamic Mechanical Properties</t>
  </si>
  <si>
    <t>Lignocellulosic fibre obtained from forest biomass has various advantages, especially in product development due to its abundance and ability in mechanical properties. Sugar palm fibre (SPF) has emerged as promising fibre reinforcement in composite industries to form high-strength and stiffness biocomposites. Due to environmental concerns such as air pollution and global warming, the global community has worked together to replace conventional plastic with biomass waste like SPF in various product types. Traditionally, sugar palm by-products are useful for various traditional uses such as traditional foods, gula kabung, and alcohol, while SPF is applied as rope, brooms and brushes. Numerous researchers have taken initiatives to implement SPF in the packaging sector and transport uses such as lifeguard boats. Some works have proved that SPF-reinforced polymer composites exhibit high mechanical strength and remarkable properties in thermal degradations. However, like other lignocellulosic fibres, the SPF exhibits high water absorption properties, which causes problems binding with thermoplastic matrix, reducing its performance. Based on the literature survey, no review has been carried out on discussing the mechanical and thermal behaviour of SPF-reinforced thermoplastic composites. Hence, the current review aims to establish concise and collective findings from previous works on SPF/thermoplastic composites to provide a good source of literature for further research on this topic.</t>
  </si>
  <si>
    <t>10.1007/s12221-023-00224-6</t>
  </si>
  <si>
    <t>Asyraf, MRM; Hazrati, KZ; Sheng, DDCV; Rafidah, M; Ashraf, W; Madenci, E; Ozkilic, YO; Aksoylu, C; Nurazzi, NM</t>
  </si>
  <si>
    <t>Asyraf, M. R. M.; Hazrati, K. Z.; Sheng, Desmond Daniel Chin Vui; Rafidah, M.; Ashraf, W.; Madenci, Emrah; Ozkilic, Yasin Onuralp; Aksoylu, Ceyhun; Nurazzi, N. M.</t>
  </si>
  <si>
    <t>SPF; Thermoplastic; DMA; Thermal stability; Mechanical properties; Biocomposites</t>
  </si>
  <si>
    <t>POLY LACTIC-ACID; NATURAL FIBER; CONCEPTUAL DESIGN; GLASS-FIBER; SURFACE MODIFICATION; HYBRID COMPOSITES; ARENGA-PINNATA; FLAX FIBERS; STRUCTURAL APPLICATIONS; MOISTURE ABSORPTION</t>
  </si>
  <si>
    <t>[Asyraf, M. R. M.] Univ Teknol Malaysia, Fac Mech Engn, Engn Design Res Grp EDRG, Johor Baharu 81310, Johor, Malaysia; [Asyraf, M. R. M.] Univ Teknol Malaysia, Ctr Adv Composite Mat CACM, Johor Baharu 81310, Johor, Malaysia; [Hazrati, K. Z.] Taman Univ, German Malaysian Inst, Jalan Ilmiah, Kajang 43000, Selangor, Malaysia; [Sheng, Desmond Daniel Chin Vui] Univ Teknol Malaysia, Fac Mech Engn, Appl Mech Res &amp; Consultancy Grp AMRCG, Johor Baharu 81310, Johor, Malaysia; [Rafidah, M.] Univ Putra Malaysia, Fac Engn, Dept Civil Engn, UPM Serdang 43400, Selangor, Malaysia; [Ashraf, W.] Natl Text Univ, Dept Text Engn, Faisalabad 37610, Pakistan; [Madenci, Emrah; Ozkilic, Yasin Onuralp] Necmettin Erbakan Univ, Dept Civil Engn, TR-42090 Konya, Turkiye; [Aksoylu, Ceyhun] Konya Tech Univ, Dept Civil Engn, TR-42090 Konya, Turkiye; [Nurazzi, N. M.] Univ Sains Malaysia, Sch Ind Technol, Bioresource Technol Div, George Town 11800, Malaysia</t>
  </si>
  <si>
    <t>Universiti Teknologi Malaysia; Universiti Teknologi Malaysia; Universiti Teknologi Malaysia; Universiti Putra Malaysia; National Textile University - Pakistan; Necmettin Erbakan University; Konya Technical University; Universiti Sains Malaysia</t>
  </si>
  <si>
    <t>Asyraf, MRM (corresponding author), Univ Teknol Malaysia, Fac Mech Engn, Engn Design Res Grp EDRG, Johor Baharu 81310, Johor, Malaysia.;Asyraf, MRM (corresponding author), Univ Teknol Malaysia, Ctr Adv Composite Mat CACM, Johor Baharu 81310, Johor, Malaysia.</t>
  </si>
  <si>
    <t>muhammadasyraf.mr@utm.my; hazrati88@gmail.com; daniel.chin@utm.my; rafidahmazlan16@gmail.com; shwaqas88@gmail.com; emadenci@erbakan.edu.tr; yozkilic@erbakan.edu.tr; caksoylu@ktun.edu.tr; mohd.nurazzi@usm.my</t>
  </si>
  <si>
    <t>Asyraf, M. R. M./AAT-8632-2020; Özkılıç, Yasin Onuralp/AAA-9279-2019</t>
  </si>
  <si>
    <t>Asyraf, M. R. M./0000-0001-6471-0528; Özkılıç, Yasin Onuralp/0000-0001-9354-4784</t>
  </si>
  <si>
    <t>Universiti Teknologi Malaysia [PY/2022/03758 -Q.J130000.3824.31J25]</t>
  </si>
  <si>
    <t>Universiti Teknologi Malaysia</t>
  </si>
  <si>
    <t>The authors would like express gratitude for the financial support received from the Universiti Teknologi Malaysia, the project Characterizations of Hybrid Kenaf Fibre/Fibreglass Meshes Reinforced Thermoplastic ABS Composites for Future Use in Aircraft Radome Applications, grant number PY/2022/03758 -Q.J130000.3824.31J25.</t>
  </si>
  <si>
    <t>2023 JUL 10</t>
  </si>
  <si>
    <t>JUL 2023</t>
  </si>
  <si>
    <t>L4DU1</t>
  </si>
  <si>
    <t>WOS:001022788100001</t>
  </si>
  <si>
    <t>Uncovering ecological regime shifts in the Sea of Marmara and reconsidering management strategies</t>
  </si>
  <si>
    <t>Ecosystem regime shifts can alter ecosystem services, affect human well-being, and trigger policy conflicts due to economic losses and reductions in societal and environmental benefits. Intensive anthropogenic activities make the Sea of Marmara ecosystem suffer from nearly all existing available types of ecosystem pressures such as biological degradation, exposure to hydrological processes, nutrient and organic matter enrichment, plastic pollution, ocean warming, resulting in deterioration of habitats. In this study, using an integrated ecosystem assessment, we investigated for the first time the historical development and ecosystem state of the Sea of Marmara. Multivariate analyses were applied to the most comprehensive and unique long-term data sets of 9 biotic and 15 abiotic variables for ecosystem state and drivers respectively, from 1986 to 2020. Observed changes were confirmed by detecting shifts in the datasets. The Sea of Marmara ecosystem was classified into three regimes: i) an early initial state regime under the top-down control of predatory medium pelagic fish and fisheries exploitation until mid-1990s, ii) a transitional regime between mid-1990s and mid-2010s as from ecosystem restructuring, and iii) an alternate state late regime with prevailing impacts of climate change from mid-2010s until 2020. During the 20 years transitional regime, three different phases were also characterized; i) the 1st phase between mid-1990s and early 2000s with its gradual change in ecosystem state from a decrease in predators and significant shift in physical drivers of the ecosystem, ii) the 2nd phase between 2000 and mid2000s with a strong shift in ecosystem state, an ongoing increase in climate indices and fishing mortality, and a gradual decrease in water quality; and iii) the 3rd phase between mid-2000s and mid-2010s with the reorganization of the ecosystem dominated by small pelagic fish and ameliorated water quality. During late regime, we observed that most of the biotic variables, mainly fish biomass, and climate variables did not return to their initial state despite the improvement in some abiotic variables such as water quality. We identify these observed changes in the SoM ecosystem as a non-linear regime shift. Finally, we also developed concrete suggestions for improved regional management.</t>
  </si>
  <si>
    <t>10.1016/j.marenvres.2022.105794</t>
  </si>
  <si>
    <t>Demirel, N; Akoglu, E; Ulman, A; Ertor-Akyazi, P; Gul, G; Bedikoglu, D; Yildiz, T; Yilmaz, IN</t>
  </si>
  <si>
    <t>Demirel, Nazli; Akoglu, Ekin; Ulman, Aylin; Ertor-Akyazi, Pinar; Gul, Guzin; Bedikoglu, Dalida; Yildiz, Taner; Yilmaz, I. Noyan</t>
  </si>
  <si>
    <t>Ecosystem assessment; Fisheries; Climate change; Eutrophication; Regime shift</t>
  </si>
  <si>
    <t>BLACK-SEA; PHYTOPLANKTON COMPOSITION; POSSIBLE MECHANISMS; ECOSYSTEM APPROACH; MNEMIOPSIS-LEIDYI; FISHERIES; COLLAPSE; NUTRIENT; INVASION; CLIMATE</t>
  </si>
  <si>
    <t>[Demirel, Nazli; Gul, Guzin; Bedikoglu, Dalida] Istanbul Univ, Inst Marine Sci &amp; Management, TR-34134 Istanbul, Turkiye; [Akoglu, Ekin] Middle East Tech Univ, Inst Marine Sci, TR-33731 Erdemli, Turkiye; [Ulman, Aylin] Mersea Marine Consulting, 531 Sokak,Apt 4-1, TR-48300 Fethiye, Turkiye; [Ertor-Akyazi, Pinar] Bogazici Univ, Inst Environm Sci, Istanbul, Turkiye; [Yildiz, Taner] Istanbul Univ, Fac Aquat Sci, TR-34134 Istanbul, Turkiye; [Yilmaz, I. Noyan] Deakin Univ, Sch Life &amp; Environm Sci, Geelong, Vic 3125, Australia</t>
  </si>
  <si>
    <t>Istanbul University; Middle East Technical University; Bogazici University; Istanbul University; Deakin University</t>
  </si>
  <si>
    <t>Demirel, N (corresponding author), Istanbul Univ, Inst Marine Sci &amp; Management, TR-34134 Istanbul, Turkiye.</t>
  </si>
  <si>
    <t>ndemirel@istanbul.edu.tr</t>
  </si>
  <si>
    <t>Demirel, Nazli/H-5679-2012; Gül, Güzin/E-1994-2017; Akoglu, Ekin/Q-1587-2015</t>
  </si>
  <si>
    <t>Demirel, Nazli/0000-0003-4542-9276; Gül, Güzin/0000-0001-5888-3211; Akoglu, Ekin/0000-0002-2814-3527</t>
  </si>
  <si>
    <t>Scientific and Technological Research Council of Turkey [TUBITAK] [119Y294]; Scientific Research Projects Coordination Unit of Istanbul University, Turkey [MAB-2021-37457]; T.C. Ministry of Environment; T.C. Ministry of Environment, Urbanization and Climate Change/General Directorate of EIA, Permit and Inspection/Department of Laboratory, Measurement</t>
  </si>
  <si>
    <t>Scientific and Technological Research Council of Turkey [TUBITAK](Turkiye Bilimsel ve Teknolojik Arastirma Kurumu (TUBITAK)); Scientific Research Projects Coordination Unit of Istanbul University, Turkey(Istanbul University); T.C. Ministry of Environment; T.C. Ministry of Environment, Urbanization and Climate Change/General Directorate of EIA, Permit and Inspection/Department of Laboratory, Measurement</t>
  </si>
  <si>
    <t>ND, GG and DB acknowledges the support by The Scientific and Technological Research Council of Turkey [TUBITAK -Project No: 119Y294]. ND and GG also acknowledges the support by Scientific Research Projects Coordination Unit of Istanbul University, Turkey [Project number: MAB-2021-37457]. Authors would like to thank following persons that kindly shared the 1996-2011 data set; Seyfettin Tas for chlorophyll-a, Asla Aslan and Ahsen Yuksek for nutrients, Nuray Caglar and Abdullah Aksu for dissolved oxygen, Huesne Altaok for sea surface salinity, and the crew of R/V Arar. Authors would also like to thank the Integrated Marine Pollution Monitoring Program funded by the T.C. Ministry of Environment, Urbanization and Climate Change/General Directorate of EIA, Permit and Inspection/Department of Laboratory, Measurement and coordinated by TUBITAK-MRC ECPI for the provisioning of the chlorophyll-a, nutrients, dissolved oxygen, zooplankton and N. scintillans data set from 2014 to 2020. This study has been conducted using E.U. Copernicus Marine Service Information, NOAA High Resolution SST and AMO data provided by the NOAA Physical Sciences Laboratory, Boulder, Colorado, USA, from their website at https://psl.noaa.gov/data/gridded/and https://psl.noaa.gov/data/climateindices/list/respectively, and NAO data provided by NOAA Climate Prediction Center, Collage Park, Maryland, USA from their website at https://www.cpc.ncep.noaa.gov/products/precip/C Wlink/pna/nao.shtml.</t>
  </si>
  <si>
    <t>6Q7VD</t>
  </si>
  <si>
    <t>WOS:000891818000009</t>
  </si>
  <si>
    <t>Solute transport and extraction by a single root in unsaturated soils: model development and experiment</t>
  </si>
  <si>
    <t>A contaminant transport model was developed to simulate the fate and transport of organic compounds such as TNT (2,4, 6-trinitrotoluene), using the single-root system. Onions were planted for this system with 50-ml plastic tubes. Mass in the soil, soil solution, root and leaf was monitored using C-14-TNT. Model parameters were acquired from the experiments in the single-root system and were used to simulate total TNT concentration in soil, providing the average concentrations in the rhizosphere and bulk soil as well as root and leaf compartments. Because the existing RCF (root concentration factor) and TSCF (transpiration stream concentration factor) equations based on log K-ow (octanol-water partition coefficient) were not correlated to TNT uptake, a new term, root uptake rate (R-ur), and a new T-scf equation, based on the experimental data, were introduced in the proposed model. The results from both modeling and experimental studies showed higher concentrations of TNT in the rhizosphere than in the bulk soil, because mass transported from the surrounding soil into the rhizosphere was higher than that by root uptake. (C) 2004 Elsevier Ltd. All rights reserved.</t>
  </si>
  <si>
    <t>10.1016/j.envpol.2004.02.026</t>
  </si>
  <si>
    <t>Kim, J; Sung, KJ; Corapcioglu, MY; Drew, MC</t>
  </si>
  <si>
    <t>single root; TNT (2,4,6-trinitrotoluene); rhizosphere; R-ur (root uptake rate); transport model</t>
  </si>
  <si>
    <t>HYBRID POPLAR TREES; ORGANIC-CHEMICALS; PLANT UPTAKE; NUTRIENT TRANSPORT; MATHEMATICAL-MODEL; 2,4,6-TRINITROTOLUENE; TRANSLOCATION; RHIZOSPHERE; TRANSFORMATION; DESORPTION</t>
  </si>
  <si>
    <t>Univ Suwon, Dept Environm Engn, Hwasung, South Korea; Texas A&amp;M Univ, Dept Civil Engn, College Stn, TX 77843 USA; Middle E Tech Univ, Dept Geol Engn, TR-06531 Ankara, Turkey; Texas A&amp;M Univ, Dept Hort Sci, College Stn, TX 77843 USA</t>
  </si>
  <si>
    <t>Suwon University; Texas A&amp;M University System; Texas A&amp;M University College Station; Middle East Technical University; Texas A&amp;M University System; Texas A&amp;M University College Station</t>
  </si>
  <si>
    <t>Sung, KJ (corresponding author), Univ Suwon, Dept Environm Engn, Hwasung, South Korea.</t>
  </si>
  <si>
    <t>ksung@suwon.ac.kr</t>
  </si>
  <si>
    <t>836MU</t>
  </si>
  <si>
    <t>WOS:000222560700007</t>
  </si>
  <si>
    <t>Cockroaches: a potential source of novel bioactive molecule(s) for the benefit of human health</t>
  </si>
  <si>
    <t>Cockroaches are one of the hardiest insects that have survived on this planet for millions of years. They thrive in unhygienic environments, are able to survive without food for up to 30 days, without air for around 45 min and being submerged under water for 30 min. Cockroaches are omnivorous and feed on a variety of foods, including cellulose and plastic, to name a few. It is intriguing that cockroaches are able to endure and flourish under conditions that are harmful to Homo sapiens. Given the importance of the gut microbiome on its' host physiology, we postulate that the cockroach gut microbiome and/or its metabolites, may be contributing to their hardiness, which should be utilized for the discovery of biologically active molecules for the benefit of human health. Herein, we discuss the biology, diet/habitat of cockroaches, composition of gut microbiome, cellular senescence, and resistance to infectious diseases and cancer. Furthermore, current knowledge of the genome and epigenome of these remarkable species is considered. Being one of the most successful and diverse insects, as well as their extensive use in traditional and Chinese medicine, the lysates/extracts and gut microbial metabolites of cockroaches may offer a worthy resource for novel bioactive molecule(s) of therapeutic potential for the benefit of human health and may be potentially used as probiotics.</t>
  </si>
  <si>
    <t>10.1007/s13355-022-00810-9</t>
  </si>
  <si>
    <t>Siddiqui, R; Elmashak, Y; Khan, NA</t>
  </si>
  <si>
    <t>Siddiqui, Ruqaiyyah; Elmashak, Yara; Khan, Naveed Ahmed</t>
  </si>
  <si>
    <t>APPLIED ENTOMOLOGY AND ZOOLOGY</t>
  </si>
  <si>
    <t>Cockroaches; Gut microbiome; Microbial metabolites; Probiotics</t>
  </si>
  <si>
    <t>AMERICAN COCKROACH; PERIPLANETA-AMERICANA; POLLUTED ENVIRONMENTS; CELLULAR SENESCENCE; ANTIFUNGAL ACTIVITY; GUT MICROBIOME; ANTIBACTERIAL; CHITOSAN; INVERTEBRATES; TELOMERASE</t>
  </si>
  <si>
    <t>[Siddiqui, Ruqaiyyah; Elmashak, Yara] Amer Univ Sharjah, Coll Arts &amp; Sci, Univ City 26666, Sharjah, U Arab Emirates; [Khan, Naveed Ahmed] Univ Sharjah, Coll Med, Dept Clin Sci, Univ City, Sharjah, U Arab Emirates; [Siddiqui, Ruqaiyyah; Khan, Naveed Ahmed] Istinye Univ, Fac Med, Dept Med Biol, TR-34010 Istanbul, Turkey</t>
  </si>
  <si>
    <t>American University of Sharjah; University of Sharjah; Istinye University</t>
  </si>
  <si>
    <t>Khan, NA (corresponding author), Univ Sharjah, Coll Med, Dept Clin Sci, Univ City, Sharjah, U Arab Emirates.;Khan, NA (corresponding author), Istinye Univ, Fac Med, Dept Med Biol, TR-34010 Istanbul, Turkey.</t>
  </si>
  <si>
    <t>naveed5438@gmail.com</t>
  </si>
  <si>
    <t>Siddiqui, Ruqaiyyah/AIF-2100-2022; Khan, Naveed/AAM-2892-2021</t>
  </si>
  <si>
    <t>Siddiqui, Ruqaiyyah/0000-0001-9646-6208; Khan, Naveed/0000-0001-7667-8553</t>
  </si>
  <si>
    <t>Air Force Office of Scientific Research (AFOSR) [FA 8655-20-1-7004]</t>
  </si>
  <si>
    <t>Air Force Office of Scientific Research (AFOSR)(United States Department of DefenseAir Force Office of Scientific Research (AFOSR))</t>
  </si>
  <si>
    <t>RS and NAK are funded by the Air Force Office of Scientific Research (AFOSR), grant number: FA 8655-20-1-7004.</t>
  </si>
  <si>
    <t>SPRINGER JAPAN KK</t>
  </si>
  <si>
    <t>SHIROYAMA TRUST TOWER 5F, 4-3-1 TORANOMON, MINATO-KU, TOKYO, 105-6005, JAPAN</t>
  </si>
  <si>
    <t>0003-6862</t>
  </si>
  <si>
    <t>1347-605X</t>
  </si>
  <si>
    <t>APPL ENTOMOL ZOOL</t>
  </si>
  <si>
    <t>Appl. Entomol. Zoolog.</t>
  </si>
  <si>
    <t>7T5YY</t>
  </si>
  <si>
    <t>WOS:000899451600001</t>
  </si>
  <si>
    <t>Effects of high density lipoprotein containing high or low beta-carotene concentrations on progesterone production and beta-carotene uptake and depletion by bovine luteal cells</t>
  </si>
  <si>
    <t>Luteal cells were isolated from mid-luteal heifer ovaries by collagenase digestion. Cells were cultured with DMEM/Ham's F12 medium in serum pre-treated plastic culture dishes for periods of up to 11 days. As beta-carotene is almost completely insoluble in all polar solvents, it was added to cultures in either dimethyl sulphoxide (DMSO), tetrahydrofuran (THF) or as high-density lipoprotein (HDL) containing high or low beta-carotene concentrations. Medium was replaced after 24 h, thereafter medium was changed every 48 h, Treatment of cells with DMSO alone or with beta-carotene (5 mu mol/l) in DMSO both resulted in significant (P &lt; 0.01) stimulation of progesterone production. beta-Carotene (5 mu mol/l) in THF did not alter progesterone production but 50 mu mol/l beta-carotene in TNF resulted in significant inhibition (P &lt; 0.02) of progesterone production on days 3 and 7, Cultures were also supplemented with bovine HDL preparations containing equal concentrations of cholesterol (25 mu g/ml) but high or low beta-carotene (12.4 or 0.44 mu g/mg of cholesterol). Both HDL preparations significantly stimulated progesterone production (P &lt; 0.001) but the high beta-carotene HDL was significantly (P &lt; 0.02) more effective than the low beta-carotene HDL. However, when given together with bovine luteinizing hormone (bLH) or dibutyryl cAMP (dbcAMP), the high beta-carotene HDL stimulated progesterone production less than did the low NDL (P &lt; 0.01). Uptake and depletion of beta-carotene by luteal cells were also examined in culture, beta-carotene supplementation increased luteal cell beta-carotene from an initial level of 373 ng per 10(6) cells to 2,030 ng per 10(6) cells by day 6. In contrast, the levels in control cells decreased to 14% of starting values during the same period. Cells treated with HDL containing high p-carotene on day 1 or days 1 and 3 were then incubated with or without bLH or dbcAMP for a further 2 days to investigate the effect of bLH and dbcAMP on depletion of beta-carotene by luteal cells, beta-Carotene depletion in the luteal cells was significantly higher (P &lt; 0.05) in LH- and dbcAMP-treated cells than in the control cells in both groups. These results indicate that the use of solvents such as DMSO or THF may have undesirable effects due to alteration of cell membrane permeability. Supplementation with bLH or dbcAMP may increase the metabolism of beta-carotene in luteal cells, bLH or dbcAMP together with high beta-carotene WDL may, when combined with the effect of increased beta-carotene metabolism, give less stimulation than with low beta-carotene HDL. (C) 2000 Elsevier Science B.V. All rights reserved.</t>
  </si>
  <si>
    <t>10.1016/S0378-4320(00)00122-6</t>
  </si>
  <si>
    <t>cattle-feeding and nutrition; beta-carotene; luteal cells; lipoprotein; progesterone</t>
  </si>
  <si>
    <t>NEOPLASTIC TRANSFORMATION; ESTROUS-CYCLE; CORPUS-LUTEUM; VITAMIN-A; INTERCELLULAR COMMUNICATION; CULTURE; PROLIFERATION; ANTIOXIDANTS; EXPRESSION; INSULIN</t>
  </si>
  <si>
    <t>N8 Research Partnership; RLUK- Research Libraries UK; White Rose University Consortium; University of Leeds</t>
  </si>
  <si>
    <t>Arikan, S (corresponding author), Univ Kirikkale, Fac Vet Med, TR-71100 Kirikale, Turkey.</t>
  </si>
  <si>
    <t>SEP 1</t>
  </si>
  <si>
    <t>344CR</t>
  </si>
  <si>
    <t>WOS:000088740500001</t>
  </si>
  <si>
    <t>Biogas productivity of anaerobic digestion process is governed by a core bacterial microbiota</t>
  </si>
  <si>
    <t>Anaerobic digestion (AD) has been commercially operated worldwide in full scale as a resource recovery technology underpinning a circular economy. However, problems such as a long start-up time, or system instability, have been reported in response to operational shocks. These issues are usually linked to the dynamics of the functional microbiota in AD. Exploring the microbiota-functionality nexus (MFN) could be pivotal to understand the reasons behind these difficulties, and hence improving AD performance. Here we present a systematic MFN study based on 138 samples taken from 20 well-profiled lab-scale AD reactors operated for up to two years. All the reactors were operated in the same lab within the same period of time using the same methodology to harvest physio-chemical and molecular data, including key monitoring parameters, qPCR, and 16S sequencing results. The results showed a core bacterial microbiota prevailing in all reactor types, including Bacillus, Clostridium, Bacteroides, Eubacterium, Cytophaga, Anaerophaga, and Syntrophomonas, while various methanogens dominated different communities due to different inocula origins, reactor temperatures, or salinity levels. This core bacterial microbiota well correlated with biogas production (Pearson correlation coefficient of 0.481, p &lt; 0.0001). Such strong correlation was even comparable to that between the biogas production and the methanogenic 16S rRNA gene content (Pearson correlation coefficient of 0.481, p &lt; 0.0001). The results indicated that AD performance only modestly correlated with microbial diversity, a key governing factor. AD microbiota was neither functionally redundant nor plastic, and a high variety in communities can exhibit a strong difference in reactor performance. Our study demonstrates the importance of a core bacterial microbiota in AD and supports inspiring considerations for design, bioaugmentation, and operational strategies of AD reactors in the future.</t>
  </si>
  <si>
    <t>10.1016/j.cej.2019.122425</t>
  </si>
  <si>
    <t>Tao, Y; Ersahin, ME; Ghasimi, DSM; Ozgun, H; Wang, HY; Zhang, XD; Guo, M; Yang, YF; Stuckey, DC; van Lier, JB</t>
  </si>
  <si>
    <t>Tao, Yu; Ersahin, Mustafa Evren; Ghasimi, Dara S. M.; Ozgun, Hale; Wang, Haoyu; Zhang, Xuedong; Guo, Miao; Yang, Yunfeng; Stuckey, David C.; van Lier, Jules B.</t>
  </si>
  <si>
    <t>CHEMICAL ENGINEERING JOURNAL</t>
  </si>
  <si>
    <t>Anaerobic digestion; Bioreactor; Biogas; Microbiota</t>
  </si>
  <si>
    <t>COMMUNITY STRUCTURE; SLUDGE; FUNCTIONALITY; DYNAMICS; CARBON</t>
  </si>
  <si>
    <t>[Tao, Yu; Guo, Miao; Stuckey, David C.] Imperial Coll London, Dept Chem Engn, South Kensington Campus, London SW7 2AZ, England; [Tao, Yu; Ersahin, Mustafa Evren; Ghasimi, Dara S. M.; Ozgun, Hale; Wang, Haoyu; Zhang, Xuedong; van Lier, Jules B.] Delft Univ Technol, Dept Water Management, Sect Sanit Engn, NL-2600 GA Delft, Netherlands; [Ersahin, Mustafa Evren; Ozgun, Hale] Istanbul Tech Univ, Civil Engn Fac, Environm Engn Dept, Ayazaga Campus, TR-34469 Istanbul, Turkey; [Ghasimi, Dara S. M.] UKH, Dept Civil Engn, Erbil, Kurdistan Regio, Iraq; [Wang, Haoyu] Harbin Inst Technol, State Key Lab Urban Water Resource &amp; Environm, Harbin 150090, Heilongjiang, Peoples R China; [Yang, Yunfeng] Tsinghua Univ, Sch Environm, State Key Joint Lab Environm Simulat &amp; Pollut Con, Beijing 100084, Peoples R China</t>
  </si>
  <si>
    <t>Imperial College London; Delft University of Technology; Istanbul Technical University; University of Kurdistan Hewler; Harbin Institute of Technology; Tsinghua University</t>
  </si>
  <si>
    <t>Stuckey, DC (corresponding author), Imperial Coll London, Dept Chem Engn, South Kensington Campus, London SW7 2AZ, England.</t>
  </si>
  <si>
    <t>d.stuckey@imperial.ac.uk</t>
  </si>
  <si>
    <t>Tao, Yu Troy/B-9282-2013; Stuckey, David Campbell/GRR-8364-2022; Guo, Miao/AAM-6196-2020; Zhang, Xuedong/AAR-4677-2021; Zhang, Xuedong/AAR-4666-2021; Stuckey, David/AAG-2116-2019; Özgün, Hale/A-1717-2014; Ersahin, Mustafa Evren/ABA-6560-2020</t>
  </si>
  <si>
    <t>Tao, Yu Troy/0000-0002-5688-0073; Guo, Miao/0000-0001-7733-5077; Zhang, Xuedong/0000-0002-9224-0698; Stuckey, David/0000-0002-6255-1153; Özgün, Hale/0000-0001-8784-8351; Ersahin, Mustafa Evren/0000-0003-1607-0524; Ghasimi, Dara S.M./0000-0002-1051-7244</t>
  </si>
  <si>
    <t>Biotechnology and Biological Sciences Research Council (BBSRC) of the UK [BB/K003240/2]; Turkish Academy of Sciences (TUBA); HUYGENS Scholarship Program; BBSRC [BB/K003240/2] Funding Source: UKRI</t>
  </si>
  <si>
    <t>Biotechnology and Biological Sciences Research Council (BBSRC) of the UK(UK Research &amp; Innovation (UKRI)Biotechnology and Biological Sciences Research Council (BBSRC)); Turkish Academy of Sciences (TUBA)(Turkish Academy of Sciences); HUYGENS Scholarship Program; BBSRC(UK Research &amp; Innovation (UKRI)Biotechnology and Biological Sciences Research Council (BBSRC))</t>
  </si>
  <si>
    <t>This study was funded by a research grant from the Biotechnology and Biological Sciences Research Council (BBSRC) of the UK (grant number BB/K003240/2). The authors would like to express their gratitude for the Ph.D. Fellowship awards provided by the Turkish Academy of Sciences (TUBA) to HO, by HUYGENS Scholarship Program to MEE.</t>
  </si>
  <si>
    <t>1385-8947</t>
  </si>
  <si>
    <t>1873-3212</t>
  </si>
  <si>
    <t>CHEM ENG J</t>
  </si>
  <si>
    <t>Chem. Eng. J.</t>
  </si>
  <si>
    <t>JK4LR</t>
  </si>
  <si>
    <t>WOS:000494815600027</t>
  </si>
  <si>
    <t>Greenness of lab-on-a-chip devices for analytical processes: Advances &amp; future prospects</t>
  </si>
  <si>
    <t>Lab-on-a-chip devices have now-a-days become an important aspect of analytical/bioanalytical chemistry having wide range of applications including clinical diagnosis, drug screening, cell biology, environmental monitoring, food safety analysis etc. Conventional lab-on-a-chip devices generally employ chemicals that are not environmentally friendly and were commonly fabricated on hard plastic platform which are non-degradable and hence ignore the importance of green analytical chemistry. In today's scenario, it is highly imperative to protect our environment by using less toxic and environmentally friendly chemicals/solvents and biocompatible platforms. Accordingly, the present article comprehensively reviews on the various green aspects of lab-on-a-chip devices for analytical processes which aim at fabricating environmentally friendly and cost-effective downsized devices so that the risk factor at the user's end upon longer exposure as well as to the environment can be reduced. The decisive factors for the accomplishment of green aspects of lab-on-a-chip devices including sample preparation using lab-on-a-chip systems to minimize the amount of sample/solvents to few microliters only, substitution of harmful solvents with green alternatives, minimal waste generation or proper treatment of waste and biodegradable and biocompatible platforms for fabricating lab-on-a-chip devices have been discussed in details. Additionally, the challenges that may hinder their commercialization are also critically discussed.</t>
  </si>
  <si>
    <t>10.1016/j.jpba.2022.114914</t>
  </si>
  <si>
    <t>Agrawal, A; Yildiz, UY; Hussain, CG; Kailasa, SK; Kecili, R; Hussain, CM</t>
  </si>
  <si>
    <t>Agrawal, Arpana; Yildiz, Umit Yilmaz; Hussain, Chaudhery Ghazanfar; Kailasa, Suresh Kumar; Kecili, Rustem; Hussain, Chaudhery Mustansar</t>
  </si>
  <si>
    <t>JOURNAL OF PHARMACEUTICAL AND BIOMEDICAL ANALYSIS</t>
  </si>
  <si>
    <t>Lab -on -a -chip devices; Analytical chemistry; Microextraction techniques; Green solvents</t>
  </si>
  <si>
    <t>LIQUID-PHASE MICROEXTRACTION; BAR SORPTIVE EXTRACTION; SUPERCRITICAL-FLUID EXTRACTION; DEEP EUTECTIC SOLVENT; SINGLE-DROP MICROEXTRACTION; GAS-CHROMATOGRAPHY; MASS-SPECTROMETRY; PACKED SORBENT; IONIC-LIQUID; WATER SAMPLES</t>
  </si>
  <si>
    <t>[Agrawal, Arpana] Shri Neelkantheshwar Govt Postgrad Coll, Dept Phys, Khandwa 450001, India; [Yildiz, Umit Yilmaz; Kecili, Rustem] Anadolu Univ, Yunus Emre Vocat Sch Hlth Serv, Dept Med Serv &amp; Tech, TR-26470 Eskisehir, Turkey; [Hussain, Chaudhery Ghazanfar] Dept Educ Lahore, Comp Sci &amp; Technol, Punjab, Pakistan; [Kailasa, Suresh Kumar] Sardar Vallabhbhai Natl Inst Technol, Dept Chem, Surat 395007, Gujarat, India; [Hussain, Chaudhery Mustansar] New Jersey Inst Technol, Dept Chem &amp; Environm Sci, Newark, NJ 07102 USA</t>
  </si>
  <si>
    <t>Anadolu University; National Institute of Technology (NIT System); Sardar Vallabhbhai National Institute of Technology; New Jersey Institute of Technology</t>
  </si>
  <si>
    <t>chaudhery.m.hussain@njit.edu</t>
  </si>
  <si>
    <t>Agrawal, Arpana/E-8505-2017</t>
  </si>
  <si>
    <t>Agrawal, Arpana/0000-0002-0947-3280</t>
  </si>
  <si>
    <t>0731-7085</t>
  </si>
  <si>
    <t>1873-264X</t>
  </si>
  <si>
    <t>J PHARMACEUT BIOMED</t>
  </si>
  <si>
    <t>J. Pharm. Biomed. Anal.</t>
  </si>
  <si>
    <t>SEP 20</t>
  </si>
  <si>
    <t>Chemistry, Analytical; Pharmacology &amp; Pharmacy</t>
  </si>
  <si>
    <t>Chemistry; Pharmacology &amp; Pharmacy</t>
  </si>
  <si>
    <t>6P1QO</t>
  </si>
  <si>
    <t>WOS:000890709300004</t>
  </si>
  <si>
    <t>Seafood Safety, Potential Hazards and Future Perspective</t>
  </si>
  <si>
    <t>Along with the numerous benefits for human health, seafood may pose various health risks. These potential hazards may be of anthropogenic origin as well as natural. Pathogenic bacteria, viruses, organic and inorganic pollutants, microplastics, parasites, shellfish poisonings, ciguatera, tetrodotoxin, histamine, or seafood allergy may threat consumer health. Evaluating the possible sources of these hazards and conditions is necessary to provide healthy and safe seafood to the consumer. Increased awareness of consumers on sustainability, food safety, origin and availability will greatly affect consumption trends. Therefore, this review presents a future perspective for seafood consumption. Antibiotic resistance and the effect of climate change on fish consumption, the recent critical problems of the seafood industry, were also discussed. This review gives current information on the potential hazards of seafood and provides a perspective for future trends in fish consumption. The seafood processing sector should consider these potential risks and adapt to changing consumer preferences.</t>
  </si>
  <si>
    <t>10.4194/TRJFAS20533</t>
  </si>
  <si>
    <t>Mol, S; Cosansu, S</t>
  </si>
  <si>
    <t>Mol, Suhendan; Cosansu, Serap</t>
  </si>
  <si>
    <t>Fish; Health risk; Pathogen; Climate change; Covid-19</t>
  </si>
  <si>
    <t>FISH CONSUMPTION; OUTBREAK; SHELLFISH; SELENIUM; ROTAVIRUS; HISTAMINE; VIRUSES; TURKISH; METALS; RISK</t>
  </si>
  <si>
    <t>[Mol, Suhendan] Istanbul Univ, Fac Aquat Sci, Dept Fisheries &amp; Seafood Proc Technol, Kalenderhane Mh,Onalti Mart Sehitleri St, Istanbul, Turkey; [Cosansu, Serap] Sakarya Univ, Fac Engn, Dept Food Engn, TR-54187 Sakarya, Turkey</t>
  </si>
  <si>
    <t>Istanbul University; Sakarya University</t>
  </si>
  <si>
    <t>Mol, S (corresponding author), Istanbul Univ, Fac Aquat Sci, Dept Fisheries &amp; Seafood Proc Technol, Kalenderhane Mh,Onalti Mart Sehitleri St, Istanbul, Turkey.</t>
  </si>
  <si>
    <t>suhendan@istanbul.edu.tr</t>
  </si>
  <si>
    <t>Coşansu, Serap/P-7825-2019</t>
  </si>
  <si>
    <t>Coşansu, Serap/0000-0003-2875-1335</t>
  </si>
  <si>
    <t>0E8YK</t>
  </si>
  <si>
    <t>WOS:000776959700001</t>
  </si>
  <si>
    <t>The hormetic dose-risks of polymethyl methacrylate nanoplastics on chlorophyll a fluorescence transient, lipid composition and antioxidant system in Lactuca sativa</t>
  </si>
  <si>
    <t>Nanoplastic pollution has become an increasing problem due to over-consumption and degradation in ecosystems. A little is known about ecological toxicity and the potential risks of nanoplastics on plants. To better comprehend the hormetic effects of nanoplastics, the experimental design was conducted on the impacts of polymethyl methacrylate (PMMA) on water status, growth, gas exchange, chlorophyll a fluorescence transient, reactive oxygen species (ROS) content (both content and fluorescence visualization), lipid peroxidation and antioxidant capacity (comparatively between leaves and roots). For this purpose, PMMA (10, 20, 50 and 100 mg L-1) was hydroponically applied to Lactuca sativa for 15 days(d). PMMA exposure resulted a decline in the growth, water content and osmotic potential. As based on assimilation rate (A), stomatal conductance (g(s)), and intercellular CO2 concentrations (C-i), the decreased stomatal limitation (L-s) and, A/C-i and increased intrinsic mesophyll efficiency proved low carboxylation efficiency showing impaired photosynthesis as a non-stomatal limitation. PMMA toxicity increased the trapping fluxes and absorption with a decrease in electron transport fluxes caused the disruption in reaction centers of photosystems. The leaves and roots had a similar effect against PMMA toxicity, with increased superoxide dismutase (SOD) activity. Although, catalase (CAT) and peroxidase (POX) of leaves increased under 10 mg L-1 PMMA, these defense activities failed to prevent radicals from attacking. Compared to the leaves, the lettuce roots showed an intriguing result for AsA-GSH cycle against PMMA exposure. In the roots, the lowest PMMA application provided the high ascorbate/dehydroascorbate (AsA/DHA), GSH/GSSG and the pool of AsA/glutathione (GSH) and non-suppressed GSH redox state. Also, 10 mg L-1 PMMA helped remove high hydrogen peroxide (H2O2) by both glutathione peroxidase (GPX) and glutathione S-transferase (GST). Since this improvement in the antioxidant system could not be continued in roots after higher applications than 20 mg L-1 PMMA, TBARS (Thiobarbituric acid-reactive substances), indicating the level of lipid peroxidation, and H2O2 increased. Our findings obtained from PMMA-applied lettuce provide new information to advance the tolerance mechanism against nanoplastic pollution.</t>
  </si>
  <si>
    <t>10.1016/j.envpol.2022.119651</t>
  </si>
  <si>
    <t>Yildiztugay, E; Ozfidan-Konakci, C; Arikan, B; Alp, FN; Elbasan, F; Zengin, G; Cavusoglu, H; Sakalak, H</t>
  </si>
  <si>
    <t>Yildiztugay, Evren; Ozfidan-Konakci, Ceyda; Arikan, Busra; Alp, Fatma Nur; Elbasan, Fevzi; Zengin, Gokhan; Cavusoglu, Halit; Sakalak, Huseyin</t>
  </si>
  <si>
    <t>Antioxidant; Chlorophyll a fluorescence transient; Gas exchange; Nanoplastic; Polymethyl methacrylate</t>
  </si>
  <si>
    <t>ASCORBATE PEROXIDASE; HYDROGEN-PEROXIDE; NADPH OXIDASE; GLUTATHIONE; L.; MICROPLASTICS; CHLOROPLASTS; INDUCTION; TOLERANCE; RESPONSES</t>
  </si>
  <si>
    <t>[Yildiztugay, Evren; Arikan, Busra; Alp, Fatma Nur; Elbasan, Fevzi] Selcuk Univ, Fac Sci, Dept Biotechnol, TR-42130 Selcuklu, Konya, Turkey; [Ozfidan-Konakci, Ceyda] Necmettin Erbakan Univ, Fac Sci, Dept Mol Biol &amp; Genet, TR-42090 Meram, Konya, Turkey; [Zengin, Gokhan] Selcuk Univ, Fac Sci, Dept Biol, TR-42130 Selcuklu, Konya, Turkey; [Cavusoglu, Halit] Selcuk Univ, Fac Sci, Dept Phys, TR-42130 Selcuklu, Konya, Turkey; [Sakalak, Huseyin] Selcuk Univ, Grad Sch Nat &amp; Appl Sci, Nanotechnol &amp; Adv Mat, TR-42130 Selcuklu, Konya, Turkey</t>
  </si>
  <si>
    <t>Selcuk University; Necmettin Erbakan University; Selcuk University; Selcuk University; Selcuk University</t>
  </si>
  <si>
    <t>Ozfidan-Konakci, C (corresponding author), Necmettin Erbakan Univ, Fac Sci, Dept Mol Biol &amp; Genet, TR-42090 Meram, Konya, Turkey.</t>
  </si>
  <si>
    <t>eytugay@selcuk.edu.tr; cozfidan@erbakan.edu.tr; busra.arikan@selcuk.edu.tr; fatmanur.alp@selcuk.edu.tr; fevzi.elba@gmail.com; gokhanzengin@selcuk.edu.tr; hcavusoglu@selcuk.edu.tr; huseyinsakalak@gmail.com</t>
  </si>
  <si>
    <t>Arikan, Busra/L-6055-2016; YILDIZTUGAY, EVREN/AEP-8812-2022; SAKALAK, HUSEYIN/ISS-4546-2023; cavusoglu, halit/M-8004-2019</t>
  </si>
  <si>
    <t>Arikan, Busra/0000-0001-5313-0501; YILDIZTUGAY, EVREN/0000-0002-4675-2027; SAKALAK, HUSEYIN/0000-0001-8398-3636; cavusoglu, halit/0000-0002-7215-651X</t>
  </si>
  <si>
    <t>Scientific Research Projects Coordi-nating Office, Selcuk University, Turkey [21401112]</t>
  </si>
  <si>
    <t>Scientific Research Projects Coordi-nating Office, Selcuk University, Turkey(Selcuk University)</t>
  </si>
  <si>
    <t>This work was supported by Scientific Research Projects Coordi-nating Office, Selcuk University, Turkey (Grant Number: 21401112) .</t>
  </si>
  <si>
    <t>3J5GZ</t>
  </si>
  <si>
    <t>WOS:000833424600005</t>
  </si>
  <si>
    <t>Nanotechnology in food and water security: on-site detection of agricultural pollutants through surface-enhanced Raman spectroscopy</t>
  </si>
  <si>
    <t>Agricultural pollutants are harmful components threatening human health, wildlife, the environment, and the ecosystem. To avoid their exposure, developing prevention and detection systems with high sensitivity and selectivity is required. Most conventional methods, including molecular and chromatographic techniques, cannot be adopted for outdoor on-site detection even though they can provide sensitive and selective detection. Thus, detection platforms that can provide on-site detection via miniaturized and high throughput systems should be developed. As an alternative method, surface-enhanced Raman scattering (SERS) provides unique information about the substances in the presence of plasmonic nanostructures, and it can be portable with the use of portable detection systems and spectrometers. In this study, on-site detection of agricultural pollutants through SERS is reviewed. Three different types of agricultural pollutants were pointed out. On-site detection of biological pollutants, including bacteria and viruses, is reviewed as the first type of pollutant. As a second type, the detection of pesticides, antibiotics, and additives are focused on as chemical pollutants. The third group includes the detection of microplastics and also nanoparticles from the environment.</t>
  </si>
  <si>
    <t>10.1007/s42247-022-00376-w</t>
  </si>
  <si>
    <t>Yilmaz, D; Gunaydin, BN; Yuce, M</t>
  </si>
  <si>
    <t>Yilmaz, Deniz; Gunaydin, Beyza Nur; Yuce, Meral</t>
  </si>
  <si>
    <t>EMERGENT MATERIALS</t>
  </si>
  <si>
    <t>SERS; Agricultural pollutants; Food; Water; Pesticide; Microplastics</t>
  </si>
  <si>
    <t>PESTICIDE-RESIDUES; RAPID DETECTION; SILVER NANOPARTICLES; SERS DETECTION; ULTRASENSITIVE DETECTION; SENSITIVE DETECTION; HUMAN HEALTH; SCATTERING; MICROPLASTICS; MEMBRANE</t>
  </si>
  <si>
    <t>[Yilmaz, Deniz; Yuce, Meral] Sabanci Univ, Nanotechnol Res &amp; Applicat Ctr SUNUM, TR-34956 Istanbul, Turkey; [Gunaydin, Beyza Nur] Sabanci Univ, Fac Engn &amp; Nat Sci, TR-34956 Istanbul, Turkey</t>
  </si>
  <si>
    <t>Sabanci University; Sabanci University</t>
  </si>
  <si>
    <t>Yuce, M (corresponding author), Sabanci Univ, Nanotechnol Res &amp; Applicat Ctr SUNUM, TR-34956 Istanbul, Turkey.</t>
  </si>
  <si>
    <t>meralyuce@sabanciuniv.edu</t>
  </si>
  <si>
    <t>Yuce, Meral/J-2892-2019; Uzunoglu Yılmaz, Deniz/AAO-4144-2020</t>
  </si>
  <si>
    <t>Yuce, Meral/0000-0003-0393-1225; Uzunoglu Yılmaz, Deniz/0000-0002-0933-7983</t>
  </si>
  <si>
    <t>2522-5731</t>
  </si>
  <si>
    <t>2522-574X</t>
  </si>
  <si>
    <t>EMERGENT MATER</t>
  </si>
  <si>
    <t>Emerg. Mater.</t>
  </si>
  <si>
    <t>ZX7UI</t>
  </si>
  <si>
    <t>WOS:000766408400001</t>
  </si>
  <si>
    <t>Pollutant-induced pyroptosis in humans and other animals</t>
  </si>
  <si>
    <t>Pyroptosis is a form of lytic cell death with pro-inflammatory characteristics, induced upon the activation of certain inflammatory caspases by inflammasome complexes such as NLRP3 inflammasome. Gasdermin proteins as the mediators of pyroptosis form cell membrane pores upon activation, which release certain cellular contents into the extracellular space including inflammatory cytokines such as IL-113 and IL-18, and also damage the integrity of the cell membrane. Gasdermins have been implicated in autoimmune and inflammatory diseases, infectious diseases, deafness and cancer. Mostly in the last 2 years, diverse pollutant types including particulate matter, cadmium and polystyrene microplastics were reported to induce pyroptotic cell death in diverse tissues from mammals to birds. In the present study, we review our current understanding of pollutant-induced pyroptosis as well as current knowledge of upstream events leading to pyroptotic cell death upon exposure to pollutants.</t>
  </si>
  <si>
    <t>10.1016/j.lfs.2023.121386</t>
  </si>
  <si>
    <t>Berkel, C; Cacan, E</t>
  </si>
  <si>
    <t>Berkel, Caglar; Cacan, Ercan</t>
  </si>
  <si>
    <t>LIFE SCIENCES</t>
  </si>
  <si>
    <t>Pyroptosis; Pollutant; Gasdermin; NLRP3; Cell death; Inflammation; Particulate matter; Cadmium; Polystyrene microplastics; Microplastics; GSDMD; Caspase-1; Cytokines; Inflammasome; GSDME</t>
  </si>
  <si>
    <t>CELL-DEATH; WOOD SMOKE; INFLAMMASOME; CADMIUM; PARTICLES; CHINA</t>
  </si>
  <si>
    <t>[Berkel, Caglar; Cacan, Ercan] Tokat Gaziosmanpasa Univ, Dept Mol Biol &amp; Genet, TR-60250 Tokat, Turkiye</t>
  </si>
  <si>
    <t>Berkel, C; Cacan, E (corresponding author), Tokat Gaziosmanpasa Univ, Dept Mol Biol &amp; Genet, TR-60250 Tokat, Turkiye.</t>
  </si>
  <si>
    <t>caglar.berkel@gop.edu.tr; ercan.cacan@gop.edu.tr</t>
  </si>
  <si>
    <t>Cacan, Ercan/0000-0002-3487-9493; BERKEL, CAGLAR/0000-0003-4787-5157</t>
  </si>
  <si>
    <t>0024-3205</t>
  </si>
  <si>
    <t>1879-0631</t>
  </si>
  <si>
    <t>LIFE SCI</t>
  </si>
  <si>
    <t>Life Sci.</t>
  </si>
  <si>
    <t>Medicine, Research &amp; Experimental; Pharmacology &amp; Pharmacy</t>
  </si>
  <si>
    <t>Research &amp; Experimental Medicine; Pharmacology &amp; Pharmacy</t>
  </si>
  <si>
    <t>C7DD3</t>
  </si>
  <si>
    <t>WOS:000963470700001</t>
  </si>
  <si>
    <t>Investigation of degradation potential of polyethylene microplastics in anaerobic digestion process using cosmetics industry wastewater</t>
  </si>
  <si>
    <t>In this study, the effect of polyethylene (PE) microplastics (MPs) with different sizes (150 mu m and 50 mu m) and abundances (1 g/L, 2 g/L, and 4 g/L) on the anaerobic digestion (AD) of the cosmetic industry wastewater (CoIW) was investigated. The results showed that 50 mu m PE-MPs did not significantly affect the cumulative biogas production compared to the control. On the other hand, three different scenarios were observed considering the different abundances of 150 mu m PE-MPs. The 150 mu m of PE-MPs at 4 g/L showed the most adverse effect on AD and cumulative biogas production was significantly inhibited and decreased by approxi-mately 7 % compared to the control group, while cumulative biogas production increased by approximately 12 % at 1 g/L MP abundance. Removal of sCOD averaged 52-53 % for all abundances of 50 mu m MPs. For 150 mu m MPs, the sCOD removals for 1 g/L, 2 g/L, and 4 g/L were determined as 52 %, 58 %, and 56 %, respectively. Model -based analysis indicated that 50 mu m PE-MPs at all MP abundances decreased the control's hydrolysis coefficient (k). The inhibition of biogas production potential could be attributed to smaller-sized MPs having larger surface areas, so they adsorb more inhibitors in the medium and thus limit the activity of anaerobic microorganisms. In support of this, SEM results indicated that 150 mu m PE-MPs surfaces possessed more erosions and grooves.</t>
  </si>
  <si>
    <t>10.1016/j.bej.2022.108619</t>
  </si>
  <si>
    <t>Akbay, HEG; Akarsu, C; Isik, Z; Belibagli, P; Dizge, N</t>
  </si>
  <si>
    <t>Akbay, Habibe Elif Gulsen; Akarsu, Ceyhun; Isik, Zelal; Belibagli, Pinar; Dizge, Nadir</t>
  </si>
  <si>
    <t>BIOCHEMICAL ENGINEERING JOURNAL</t>
  </si>
  <si>
    <t>Polyethylene microplastics; Anaerobic digestion process; Cosmetics industry wastewater; Biogas production</t>
  </si>
  <si>
    <t>MEMBRANE BIOREACTOR; IDENTIFICATION; COAGULATION</t>
  </si>
  <si>
    <t>[Akbay, Habibe Elif Gulsen; Isik, Zelal; Belibagli, Pinar; Dizge, Nadir] Mersin Univ, Dept Environm Engn, TR-33343 Mersin, Turkey; [Akarsu, Ceyhun] Istanbul Univ Cerrahpasa, Dept Environm Engn, Istanbul, Turkey</t>
  </si>
  <si>
    <t>Mersin University; Istanbul University - Cerrahpasa</t>
  </si>
  <si>
    <t>Dizge, N (corresponding author), Mersin Univ, Dept Environm Engn, TR-33343 Mersin, Turkey.</t>
  </si>
  <si>
    <t>ndizge@mersin.edu.tr</t>
  </si>
  <si>
    <t>Belibağlı, Pınar/ABH-1193-2020; Akarsu, Ceyhun/G-4632-2016; GULSEN AKBAY, Habibe Elif/H-5966-2016</t>
  </si>
  <si>
    <t>Belibağlı, Pınar/0000-0001-6643-9620; Akarsu, Ceyhun/0000-0002-0168-9941; GULSEN AKBAY, Habibe Elif/0000-0003-1144-9279</t>
  </si>
  <si>
    <t>1369-703X</t>
  </si>
  <si>
    <t>1873-295X</t>
  </si>
  <si>
    <t>BIOCHEM ENG J</t>
  </si>
  <si>
    <t>Biochem. Eng. J.</t>
  </si>
  <si>
    <t>Biotechnology &amp; Applied Microbiology; Engineering, Chemical</t>
  </si>
  <si>
    <t>Biotechnology &amp; Applied Microbiology; Engineering</t>
  </si>
  <si>
    <t>5D1ED</t>
  </si>
  <si>
    <t>WOS:000864692200004</t>
  </si>
  <si>
    <t>Wearable Piezoelectric Airflow Transducers for Human Respiratory and Metabolic Monitoring</t>
  </si>
  <si>
    <t>Despite the importance of respiration and metabolism measure-ment in daily life, they are not widely available to ordinary people because of sophisticated and expensive equipment. Here, we first report a straightforward and economical approach to monitoring respiratory function and metabolic rate using a wearable piezoelectric airflow transducer (WPAT). A self-shielded bend sensor is designed by sticking two uniaxially drawn piezoelectric poly L- lactic acid films with different cutting angles, and then the bend sensor is mounted on one end of a plastic tube to engineer the WPAT. The airflow sensing principle of the WPAT is theoretically determined through finite element simulation, and the WPAT is calibrated with a pulse calibration method. We prove that the WPAT has similar accuracy (correlation coefficient &gt; 0.99) to a pneumotachometer in respiratory flow and lung volume assessment. We demonstrate metabolism measurement using the WPAT and the relationship between minute volume and metabolic rates via human wear trials. The mean difference of measured metabolic rates between the WPAT and a Biopac indirect calorimeter is 0.015 kcal/min, which shows comparable performance. Significantly, unlike the Biopac indirect calorimeter with an airflow sensor, an oxygen gas sensor, and a carbon dioxide gas sensor, we merely use the simple-structured WPAT to measure metabolism. Thus, we expect the WPAT technology to provide a precise, convenient, and cost-effective respiratory and metabolic monitoring solution for next-generation medical home care applications and wearable healthcare systems.</t>
  </si>
  <si>
    <t>10.1021/acssensors.2c00824</t>
  </si>
  <si>
    <t>Jin, L; Liu, ZK; Altintas, M; Zheng, Y; Liu, ZC; Yao, SR; Fan, YY; Li, Y</t>
  </si>
  <si>
    <t>Jin, Lu; Liu, Zekun; Altintas, Mucahit; Zheng, Yan; Liu, Zhangchi; Yao, Sirui; Fan, Yangyang; Li, Yi</t>
  </si>
  <si>
    <t>ACS SENSORS</t>
  </si>
  <si>
    <t>airflow transducer; PLLA; respiratory flow; lung volume; metabolic rate</t>
  </si>
  <si>
    <t>RESTING ENERGY-EXPENDITURE; INDIRECT CALORIMETER; ACCELEROMETRY; TECHNOLOGY; VALIDATION; NEEDS</t>
  </si>
  <si>
    <t>[Jin, Lu; Liu, Zekun; Zheng, Yan; Liu, Zhangchi; Yao, Sirui; Fan, Yangyang; Li, Yi] Univ Manchester, Sch Nat Sci, Dept Mat, Manchester M13 9PL, England; [Altintas, Mucahit] Istanbul Tech Univ, Comp &amp; Informat Engn, TR-34469 Istanbul, Turkey; [Li, Yi] Xian Polytech Univ, Coll Text Sci &amp; Engn, Xian 710048, Peoples R China</t>
  </si>
  <si>
    <t>N8 Research Partnership; University of Manchester; Istanbul Technical University; Xi'an Polytechnic University</t>
  </si>
  <si>
    <t>Li, Y (corresponding author), Univ Manchester, Sch Nat Sci, Dept Mat, Manchester M13 9PL, England.;Li, Y (corresponding author), Xian Polytech Univ, Coll Text Sci &amp; Engn, Xian 710048, Peoples R China.</t>
  </si>
  <si>
    <t>henry.yili@manchester.ac.uk</t>
  </si>
  <si>
    <t>altıntaş, mücahit/GVR-7982-2022; JIN, YAN/HPC-7389-2023; Altıntaş, Mücahit/HTO-5642-2023</t>
  </si>
  <si>
    <t>Altıntaş, Mücahit/0000-0001-5796-3076; Jin, Lu/0000-0002-4857-2206</t>
  </si>
  <si>
    <t>EU [644268]; University of Manchester [AA14512]</t>
  </si>
  <si>
    <t>EU(European Union (EU)); University of Manchester</t>
  </si>
  <si>
    <t>This work is financially supported by the EU Horizon 2020 through project ETEXWELD-H2020-MSCA-RISE-2014 (grant no. 644268) and the University of Manchester through the UMRI project Graphene-Smart Textiles E-Healthcare Network (grant no. AA14512) .</t>
  </si>
  <si>
    <t>2379-3694</t>
  </si>
  <si>
    <t>ACS Sens.</t>
  </si>
  <si>
    <t>2022 JUL 22</t>
  </si>
  <si>
    <t>Chemistry, Multidisciplinary; Chemistry, Analytical; Nanoscience &amp; Nanotechnology</t>
  </si>
  <si>
    <t>Chemistry; Science &amp; Technology - Other Topics</t>
  </si>
  <si>
    <t>6J8DK</t>
  </si>
  <si>
    <t>WOS:000887049000001</t>
  </si>
  <si>
    <t>Toward a decade of ocean science for sustainable development through acoustic animal tracking</t>
  </si>
  <si>
    <t>The ocean is a key component of the Earth's dynamics, providing a great variety of ecosystem services to humans. Yet, human activities are globally changing its structure and major components, including marine biodiversity. In this context, the United Nations has proclaimed a Decade of Ocean Science for Sustainable Development to tackle the scientific challenges necessary for a sustainable use of the ocean by means of the Sustainable Development Goal 14 (SDG14). Here, we review how Acoustic animal Tracking, a widely distributed methodology of tracking marine biodiversity with electronic devices, can provide a roadmap for implementing the major Actions to achieve the SDG14. We show that acoustic tracking can be used to reduce and monitor the effects of marine pollution including noise, light, and plastic pollution. Acoustic tracking can be effectively used to monitor the responses of marine biodiversity to human-made infrastructures and habitat restoration, as well as to determine the effects of hypoxia, ocean warming, and acidification. Acoustic tracking has been historically used to inform fisheries management, the design of marine protected areas, and the detection of essential habitats, rendering this technique particularly attractive to achieve the sustainable fishing and spatial protection target goals of the SDG14. Finally, acoustic tracking can contribute to end illegal, unreported, and unregulated fishing by providing tools to monitor marine biodiversity against poachers and promote the development of Small Islands Developing States and developing countries. To fully benefit from acoustic tracking supporting the SDG14 Targets, trans-boundary collaborative efforts through tracking networks are required to promote ocean information sharing and ocean literacy. We therefore propose acoustic tracking and tracking networks as relevant contributors to tackle the scientific challenges that are necessary for a sustainable use of the ocean promoted by the United Nations.</t>
  </si>
  <si>
    <t>10.1111/gcb.16343</t>
  </si>
  <si>
    <t>Alos, J; Aarestrup, K; Abecasis, D; Afonso, P; Alonso-Fernandez, A; Aspillaga, E; Barcelo-Serra, M; Bolland, J; Cabanellas-Reboredo, M; Lennox, R; McGill, R; Ozgul, A; Reubens, J; Villegas-Rios, D</t>
  </si>
  <si>
    <t>Alos, Josep; Aarestrup, Kim; Abecasis, David; Afonso, Pedro; Alonso-Fernandez, Alexandre; Aspillaga, Eneko; Barcelo-Serra, Margarida; Bolland, Jonathan; Cabanellas-Reboredo, Miguel; Lennox, Robert; McGill, Ross; Ozgul, Aytac; Reubens, Jan; Villegas-Rios, David</t>
  </si>
  <si>
    <t>acoustic tracking; climate change; fisheries; marine pollution; movement; networks; ocean monitoring; sustainable development; telemetry</t>
  </si>
  <si>
    <t>CATCH-AND-RELEASE; COD GADUS-MORHUA; TROUT SALMO-TRUTTA; HABITAT USE; ARTIFICIAL REEFS; MARINE RESERVES; MOVEMENT PATTERNS; FISHING MORTALITY; CLIMATE-CHANGE; SITE FIDELITY</t>
  </si>
  <si>
    <t>[Alos, Josep; Aspillaga, Eneko; Barcelo-Serra, Margarida; Villegas-Rios, David] IMEDEA, CSIC, Inst Mediterraneo Estudios Avanzados, UIB, Esporles, Spain; [Aarestrup, Kim] Tech Univ Denmark, Natl Inst Aquat Resources, Sect Freshwater Fisheries &amp; Ecol, Silkeborg, Denmark; [Abecasis, David] Univ Algarve CCMAR, Ctr Marine Sci, Faro, Portugal; [Afonso, Pedro] Inst Marine Res IMAR, Horta, Portugal; [Alonso-Fernandez, Alexandre; Villegas-Rios, David] CSIC, Inst Invest Marinas IIM, Vigo, Spain; [Bolland, Jonathan] Univ Hull, Hull Int Fisheries Inst, Kingston Upon Hull, N Humberside, England; [Cabanellas-Reboredo, Miguel] CSIC, Natl Ctr Spanish Inst Oceanog, Madrid, Spain; [Lennox, Robert] NORCE Norwegian Res Ctr AS, Bergen, Norway; [Lennox, Robert] Norwegian Inst Nat Res, Trondheim, Norway; [McGill, Ross] Loughs Agcy, Derry, Londonderry, North Ireland; [Ozgul, Aytac] Ege Univ, Fac Fisheries, Izmir, Turkey; [Reubens, Jan] Flanders Marine Inst, Oostende, Belgium</t>
  </si>
  <si>
    <t>Consejo Superior de Investigaciones Cientificas (CSIC); ATTITUS Educacao; Universitat de les Illes Balears; Technical University of Denmark; Universidade do Algarve; Consejo Superior de Investigaciones Cientificas (CSIC); CSIC - Instituto de Investigaciones Marinas (IIM); University of Hull; Consejo Superior de Investigaciones Cientificas (CSIC); Norwegian Research Centre (NORCE); Norwegian Institute Nature Research; Ege University</t>
  </si>
  <si>
    <t>Alos, J (corresponding author), IMEDEA, CSIC, Inst Mediterraneo Estudios Avanzados, UIB, Esporles, Spain.</t>
  </si>
  <si>
    <t>alos@imedea.uib-csic.es</t>
  </si>
  <si>
    <t>Aspillaga, Eneko/AAH-8613-2019; Villegas Ríos, David/G-3091-2016; Aarestrup, Kim/AAK-9155-2021; Cabanellas-Reboredo, Miguel/V-6681-2019; Alonso-Fernández, Alexandre/C-9916-2012; Abecasis, David/B-2871-2012</t>
  </si>
  <si>
    <t>Aspillaga, Eneko/0000-0002-8888-8731; Villegas Ríos, David/0000-0001-5660-5322; Aarestrup, Kim/0000-0001-8521-6270; Cabanellas-Reboredo, Miguel/0000-0002-0906-1243; Alonso-Fernández, Alexandre/0000-0002-0793-2738; Abecasis, David/0000-0002-9802-8153; Lennox, Robert/0000-0003-1010-0577; Bolland, Jonathan/0000-0001-7326-5075</t>
  </si>
  <si>
    <t>Agencia Estatal Investigacion, Espana [PID2019-104940GA-I00]; Consejo Superior de Investigaciones Cientificas [PIE202030E002]; Fundacao para a Ciencia e a Tecnologia [DL57/2016/CP1361/ CT0036, BECORV PTDC/BIABMA/30278, UID/Multi/04326/2020]; European Regional Development Fund: Interreg, MarGen II Project [175806]; H2020 Marie Sklodowska-Curie Actions [793627, 891404]; Juan de la Cierva, Ministerio Ciencia e Innovacion, Espana [IJC2019-038852-I]; Norwegian Research Council; European Cooperation in Science and Technology [CA18102]; Marie Curie Actions (MSCA) [793627, 891404] Funding Source: Marie Curie Actions (MSCA)</t>
  </si>
  <si>
    <t>Agencia Estatal Investigacion, Espana; Consejo Superior de Investigaciones Cientificas(Spanish Government); Fundacao para a Ciencia e a Tecnologia(Fundacao para a Ciencia e a Tecnologia (FCT)); European Regional Development Fund: Interreg, MarGen II Project(Interreg Europe); H2020 Marie Sklodowska-Curie Actions(Marie Curie ActionsHorizon 2020); Juan de la Cierva, Ministerio Ciencia e Innovacion, Espana; Norwegian Research Council(Research Council of Norway); European Cooperation in Science and Technology(European Cooperation in Science and Technology (COST)); Marie Curie Actions (MSCA)(Marie Curie Actions)</t>
  </si>
  <si>
    <t>Agencia Estatal Investigacion, Espana, Grant/ Award Number: PID2019-104940GA-I00; Consejo Superior de Investigaciones Cientificas, Grant/Award Number: PIE202030E002; Fundacao para a Ciencia e a Tecnologia, Grant/Award Number: DL57/2016/CP1361/ CT0036, BECORV PTDC/BIABMA/30278 and UID/Multi/04326/2020; European Regional Development Fund: Interreg, MarGen II Project, Grant/Award Number: 175806; H2020 Marie Sklodowska-Curie Actions, Grant/Award Number: 793627 and 891404; Juan de la Cierva, Ministerio Ciencia e Innovacion, Espana, Grant/ Award Number: IJC2019-038852-I; Norwegian Research Council, Grant/Award Number: LOST; European Cooperation in Science and Technology, Grant/Award Number: CA18102 COST</t>
  </si>
  <si>
    <t>4F1CB</t>
  </si>
  <si>
    <t>WOS:000836335400001</t>
  </si>
  <si>
    <t>Foraging grounds of adult loggerhead sea turtles across the Mediterranean Sea: key sites and hotspots of risk</t>
  </si>
  <si>
    <t>Delineating priority areas for highly mobile marine megafauna represents a major challenge for conservation biology. To manage such areas, one must understand both their spatial properties (i.e., location, number, extent), and the level of exposure to a number of given pressures. Here, we used a combination of ensemble distribution models, field-based validation methods and a cumulative effect assessment to illustrate key foraging sites and risk hotspots for adult loggerhead sea turtles, Caretta caretta, in the Mediterranean Sea. We found that foraging sites covered about 10% of the neritic zone of the Mediterranean basin. We identified sites which are well recognized by scientists, but also other areas for which our knowledge on the potential importance is limited. The patterns of the habitat use generated by field data validated the accuracy of the distribution model. About one fifth of the foraging areas hosted in the Mediterranean could be considered as hotspots of risk, characterized by high or very high exposure to cumulative pressures. Our results suggest that management and conservation efforts should continue to be held at key, well-known foraging grounds of adult sea turtles (e.g., Northern Adriatic Sea, Tunisian Plateau) but there are several more potential sites (e.g., parts of the Aegean Sea and the Western Mediterranean) which deserve our attention in order to ensure viable populations.</t>
  </si>
  <si>
    <t>10.1007/s10531-021-02326-0</t>
  </si>
  <si>
    <t>Almpanidou, V; Tsapalou, V; Chatzimentor, A; Cardona, L; Claro, F; Hostetter, P; Kaska, Y; Liu, WH; Mansui, J; Miliou, A; Pietroluongo, G; Sacchi, J; Sezgin, C; Sozbilen, D; Mazaris, AD</t>
  </si>
  <si>
    <t>Almpanidou, Vasiliki; Tsapalou, Vasiliki; Chatzimentor, Anastasia; Cardona, Luis; Claro, Francoise; Hostetter, Patrice; Kaska, Yakup; Liu, Wenhua; Mansui, Jeremy; Miliou, Anastasia; Pietroluongo, Guido; Sacchi, Jacques; Sezgin, Cisem; Sozbilen, Dogan; Mazaris, Antonios D.</t>
  </si>
  <si>
    <t>BIODIVERSITY AND CONSERVATION</t>
  </si>
  <si>
    <t>Bycatch; Ecological niche models; Marine spatial planning; Marine turtles; Plastic pollution; Systematic conservation planning</t>
  </si>
  <si>
    <t>SPECIES DISTRIBUTION MODELS; CARETTA-CARETTA; MARINE TURTLES; PSEUDO-ABSENCES; CONSERVATION; PREDICTION; TRACKING; IMPACT; SIZE; PRIORITIES</t>
  </si>
  <si>
    <t>[Almpanidou, Vasiliki; Tsapalou, Vasiliki; Chatzimentor, Anastasia; Mazaris, Antonios D.] Aristotle Univ Thessaloniki, Sch Biol, Dept Ecol, Thessaloniki 54124, Greece; [Tsapalou, Vasiliki] Univ Groningen, Groningen Inst Evolutionary Life Sci, NL-9712 CP Groningen, Netherlands; [Cardona, Luis] Univ Barcelona, Fac Biol, IRBio, Barcelona 08028, Spain; [Cardona, Luis] Univ Barcelona, Fac Biol, Dept Evolutionary Biol Ecol &amp; Environm Sci, Barcelona 08028, Spain; [Claro, Francoise] Museum Natl Hist Nat, Observ Tortues Marines, UMS 2006 OFB CNRS MNHN PatriNat, CP 41,57 Rue Cuvier, F-75231 Paris 05, France; [Hostetter, Patrice; Miliou, Anastasia; Pietroluongo, Guido] Archipelagos Inst Marine Conservat, POB 42, Pythagorio 83103, Samos, Greece; [Kaska, Yakup] Pamukkale Univ, Fac Arts &amp; Sci, Dept Biol, Denizli, Turkey; [Kaska, Yakup; Sezgin, Cisem; Sozbilen, Dogan] Sea Turtle Res Rescue &amp; Rehabil Ctr DEKAMER, Dalyan, Turkey; [Liu, Wenhua] Shantou Univ, Inst Marine Sci, Shantou 515063, Peoples R China; [Mansui, Jeremy] Univ Montpellier, UMR 5175 CEFE, Univ Paul Valery Montpellier, EPHE,CNRS, 1919 Route Mende, F-34283 Montpellier, France; [Mansui, Jeremy] Human Initiat Save Anim Assoc HISA, 65 Rue St Jean, F-33800 Bordeaux, France; [Sacchi, Jacques] Museum Natl Hist Nat, Soc Herpetol France Reseau Tortues Marines Medite, CP 41,57 Rue Cuvier, F-75005 Paris, France; [Sacchi, Jacques] Fisheries Technol &amp; Management, 331 Chemin Phare, F-34200 Sete, France; [Sozbilen, Dogan] Pamukkale Univ, Acipayam Vocat Sch, Dept Vet, Denizli, Turkey</t>
  </si>
  <si>
    <t>Aristotle University of Thessaloniki; University of Groningen; University of Barcelona; University of Barcelona; Museum National d'Histoire Naturelle (MNHN); Pamukkale University; Shantou University; Centre National de la Recherche Scientifique (CNRS); CNRS - Institute of Ecology &amp; Environment (INEE); UDICE-French Research Universities; Universite PSL; Ecole Pratique des Hautes Etudes (EPHE); Institut Agro; Montpellier SupAgro; CIRAD; Institut de Recherche pour le Developpement (IRD); Universite Paul-Valery; Universite de Montpellier; Museum National d'Histoire Naturelle (MNHN); Pamukkale University</t>
  </si>
  <si>
    <t>Almpanidou, V (corresponding author), Aristotle Univ Thessaloniki, Sch Biol, Dept Ecol, Thessaloniki 54124, Greece.</t>
  </si>
  <si>
    <t>valmpani@bio.auth.gr</t>
  </si>
  <si>
    <t>Cardona, Luis/L-1680-2014; Sözbilen, Doğan/ABB-6767-2020</t>
  </si>
  <si>
    <t>Cardona, Luis/0000-0002-7892-1323; Sözbilen, Doğan/0000-0002-2267-1636; Mazaris, Antonios/0000-0002-4961-5490; Chatzimentor, Anastasia/0000-0001-7409-8694</t>
  </si>
  <si>
    <t>European Union (European Social Fund-ESF) through the Operational Programme Human Resources Development, Education and Lifelong Learning [MIS-5033021]; Hellenic Foundation for Research and Innovation (H.F.R.I.) [2340]</t>
  </si>
  <si>
    <t>European Union (European Social Fund-ESF) through the Operational Programme Human Resources Development, Education and Lifelong Learning; Hellenic Foundation for Research and Innovation (H.F.R.I.)</t>
  </si>
  <si>
    <t>VA was co-financed by Greece and the European Union (European Social Fund-ESF) through the Operational Programme Human Resources Development, Education and Lifelong Learning in the context of the project Reinforcement of Postdoctoral Researchers -2nd Cycle (MIS-5033021), implemented by the State Scholarships Foundation (IK gamma). AC was supported by the Hellenic Foundation for Research and Innovation (H.F.R.I.) under the First Call for H.F.R.I. Research Projects to support Faculty members and Researchers and the procurement of high-cost research equipment grant (Project Number: 2340).</t>
  </si>
  <si>
    <t>0960-3115</t>
  </si>
  <si>
    <t>1572-9710</t>
  </si>
  <si>
    <t>BIODIVERS CONSERV</t>
  </si>
  <si>
    <t>Biodivers. Conserv.</t>
  </si>
  <si>
    <t>ZA1HF</t>
  </si>
  <si>
    <t>WOS:000721661200001</t>
  </si>
  <si>
    <t>Synthesis of NiO-Doped ZnO Nanoparticle-Decorated Reduced Graphene Oxide Nanohybrid for Highly Sensitive and Selective Electrochemical Sensing of Bisphenol A in Aqueous Samples</t>
  </si>
  <si>
    <t>Bisphenol A (BPA) is broadly used in the plastic industry and has several health effects, especially on the brain and prostate gland of fetuses. BPA is a major environmental pollutant that drains into bodies of water and leaches from food packaging. Since it is a known endocrine disruptor, its extensive release into the environment is a serious concern. Thus, regular monitoring of BPA through a reliable and sensitive method is a strategy that can help alleviate its impact. To tackle this issue, an excellent conductive material based on a NiO/ZnO/rGO nanohybrid was used as an electrocatalyst to determine BPA in drinking water samples. The engineered material was characterized through XRD, EDX, and SEM. The EDX mapping was also used to examine the purity, surface texture, and focused elemental composition of the NiO/ZnO/rGO nanohybrid. The average size of the prepared material was calculated as 43.7 nm, which confirmed the nanometric size of the engineered nanohybrid material. The conductive behavior of the fabricated sensor NiO/ZnO/rGO/PtE was examined through electrochemical impedance spectroscopy (EIS) and cyclic voltammetry. The modified sensor revealed an excellent conductive nature with ohmic resistance calculated to be 412 omega, which is lower than that of the bare electrode and GO/PtE (3628 and 2239 omega, respectively). Under optimal parameters, the fabricated sensor showed excellent response for BPA. With a linear dynamic range of 0.07-30 mu M, NiO/ZnO/rGO/PtE manifested the lowest possible detection limit found (4.0 nM). The analytical applicability of the proposed sensor was investigated in bottled and tap water. Furthermore, both the acceptable recovery values and anti-interference ability indicated the effectiveness and potential commercial utilization of NiO/ZnO/rGO/PtE. The recovery values for mineral and tap water were 97.0%, 99.0%, and 97.3% and 101%, 99.6%, and 98.7%, respectively.</t>
  </si>
  <si>
    <t>10.1021/acs.iecr.2c04091</t>
  </si>
  <si>
    <t>Buledi, JA; Shaikh, H; Solangi, AR; Mallah, A; Shah, ZUH; Khan, MM; Sanati, AL; Karimi-Maleh, H; Karaman, C; Camarada, MB; Niculina, DE</t>
  </si>
  <si>
    <t>Buledi, Jamil A.; Shaikh, Huma; Solangi, Amber R.; Mallah, Arfana; Shah, Zia-ul-Hassan; Khan, Mir Mehran; Sanati, Afsaneh L.; Karimi-Maleh, Hassan; Karaman, Ceren; Camarada, Maria Belen; Niculina, Dragoi Elena</t>
  </si>
  <si>
    <t>INDUSTRIAL &amp; ENGINEERING CHEMISTRY RESEARCH</t>
  </si>
  <si>
    <t>METAL-ORGANIC FRAMEWORK; WATER-PURIFICATION; REMOVAL; SENSOR; ADSORPTION; ELECTRODE; PHENOL</t>
  </si>
  <si>
    <t>[Buledi, Jamil A.; Shaikh, Huma; Solangi, Amber R.; Khan, Mir Mehran] Univ Sindh, Natl Ctr Excellence Analyt Chem, Jamshoro 76080, Pakistan; [Mallah, Arfana] Norwegian Univ Sci &amp; Technol NTNU, Dept Chem, N-7491 Trondheim, Norway; [Mallah, Arfana] Univ Sindh, MA Kazi Inst Chem, Jamshoro 76080, Pakistan; [Shah, Zia-ul-Hassan] Sindh Agr Univ, Dept Soil Sci, Tandojam 70050, Pakistan; [Camarada, Maria Belen] Pontificia Univ Catolica Chile, Ctr Invest Nanotecnol Mat Avanzados CI, Santiago 7820436, Chile; [Camarada, Maria Belen] Pontificia Univ Catolica Chile, Fac Quim &amp; Farm, Dept Quim Inorgan, Santiago 7820436, Chile; [Niculina, Dragoi Elena] Gheorghe Asachi Tech Univ, Cristofor Simionescu Fac Chem Engn &amp; Environm Pro, Iasi 700050, Romania; [Sanati, Afsaneh L.] Univ Coimbra, Inst Syst &amp; Robot, Dept Elect &amp; Comp Engn, P-3030290 Coimbra, Portugal; [Sanati, Afsaneh L.; Karimi-Maleh, Hassan] Univ Elect Sci &amp; Technol China, Sch Resources &amp; Environm, Chengdu 611731, Peoples R China; [Karimi-Maleh, Hassan] Quchan Univ Technol, Dept Chem Engn, Quchan 9477177870, Iran; [Karimi-Maleh, Hassan] SIMATS, Saveetha Sch Engn, Dept Sustainable Engn, Chennai 602105, Tamil Nadu, India; [Shah, Zia-ul-Hassan; Karaman, Ceren] Akdeniz Univ, Dept Elect &amp; Energy, Vocat Sch Tech Sci, TR-07070 Antalya, Turkiye; [Karaman, Ceren] Lebanese Amer Univ, Sch Engn, Byblos 1526, Lebanon</t>
  </si>
  <si>
    <t>University of Sindh; Norwegian University of Science &amp; Technology (NTNU); University of Sindh; Sindh Agricultural University; Pontificia Universidad Catolica de Chile; Pontificia Universidad Catolica de Chile; GH Asachi Technical University; Universidade de Coimbra; University of Electronic Science &amp; Technology of China; Saveetha Institute of Medical &amp; Technical Science; Saveetha School of Engineering; Akdeniz University; Lebanese American University</t>
  </si>
  <si>
    <t>Solangi, AR (corresponding author), Univ Sindh, Natl Ctr Excellence Analyt Chem, Jamshoro 76080, Pakistan.;Sanati, AL (corresponding author), Univ Coimbra, Inst Syst &amp; Robot, Dept Elect &amp; Comp Engn, P-3030290 Coimbra, Portugal.;Karimi-Maleh, H (corresponding author), Univ Elect Sci &amp; Technol China, Sch Resources &amp; Environm, Chengdu 611731, Peoples R China.;Karimi-Maleh, H (corresponding author), Quchan Univ Technol, Dept Chem Engn, Quchan 9477177870, Iran.;Karimi-Maleh, H (corresponding author), SIMATS, Saveetha Sch Engn, Dept Sustainable Engn, Chennai 602105, Tamil Nadu, India.;Karaman, C (corresponding author), Akdeniz Univ, Dept Elect &amp; Energy, Vocat Sch Tech Sci, TR-07070 Antalya, Turkiye.;Karaman, C (corresponding author), Lebanese Amer Univ, Sch Engn, Byblos 1526, Lebanon.</t>
  </si>
  <si>
    <t>amber.solangi@usindh.edu.pk; a.sanati86@gmail.com; hassan@uestc.edu.cn; cerenkaraman@akdeniz.edu.tr</t>
  </si>
  <si>
    <t>Ishaque, Huma/AAC-9583-2019; Karimi-Maleh, Hassan/N-1727-2019</t>
  </si>
  <si>
    <t>Ishaque, Huma/0000-0003-1838-3452; Camarada, Maria/0000-0001-5408-3073; KARAMAN, CEREN/0000-0001-9148-7253; Karimi-Maleh, Hassan/0000-0002-1027-481X</t>
  </si>
  <si>
    <t>0888-5885</t>
  </si>
  <si>
    <t>IND ENG CHEM RES</t>
  </si>
  <si>
    <t>Ind. Eng. Chem. Res.</t>
  </si>
  <si>
    <t>MAR 22</t>
  </si>
  <si>
    <t>Engineering, Chemical</t>
  </si>
  <si>
    <t>A2FZ9</t>
  </si>
  <si>
    <t>WOS:000953907500001</t>
  </si>
  <si>
    <t>Monitoring of chloride and Friedel's salt, hydration components and porosity in high-performance concrete</t>
  </si>
  <si>
    <t>The innovative paper evaluated the water of the sea as a curing component and mixing constituent in high-performance concrete (HPC). This motivation would provide an understanding for the reader of how the water from the sea affects the HPC. This paper would provide information about the mechanism and the influence of prepared high-performance concrete mixed with either freshwater or seawater and made to cure in freshwater, seawater, or air. The mechanism and the influence were evaluated by XRD tests, SEM observations, and petrography analysis of HPCs at 3 days, 7 days, 28 days, and 90 days. The structure of the Friedel's salt increases tobermorite and ettringite (3CaO.Al(2)O(3.3)CaSO432H2O) and retards portlandite (Ca(OH)2) and calcium silicates (2CaO.SiO2 and 3CaO.SiO2) in HPC mixed with seawater for 3-90 days. Air curing reduces the formation of portlandite (Ca(OH)2), tobermorite (3CaO.2SiO2.3H2O), ettringite (3CaO.Al2O3.3CaSO432H2O), and calcium silicate (3CaO.SiO2) in seawater HPC while increasing the formation of calcium silicate (2CaO.SiO2). SEM analysis supports the mechanism and influence of mixing of seawater, curing in the water of the sea, and curing treatment in the air. According to data from petrographic analysis and porosity testing, the porosity was decreased by the seawater and curing treatment in the seawater in HPC mixes. In terms of hydration components, SEM observation, porosity, and petrographic analysis, the HPC-3 shows the best performance in the work.</t>
  </si>
  <si>
    <t>10.1016/j.cscm.2022.e01208</t>
  </si>
  <si>
    <t>Bachtiar, E; Rachim, F; Makbul, R; Tata, A; Irfan-Ul-Hassan, M; Kirgiz, MS; Syarif, M; Galdino, AGD; Khitab, A; Benjeddou, O; Kolovos, KG; Ledesma, EF; Yusri, A; Papatzani, S</t>
  </si>
  <si>
    <t>Bachtiar, Erniati; Rachim, Fatmawaty; Makbul, Ritnawati; Tata, Arbain; Irfan-Ul-Hassan, Muhammad; Kirgiz, Mehmet Serkan; Syarif, Muhammad; Galdino, Andre Gustavo de Sousa; Khitab, Anwar; Benjeddou, Omrane; Kolovos, Konstantinos G.; Ledesma, Enrique Fernandez; Yusri, Andi; Papatzani, Styliani</t>
  </si>
  <si>
    <t>CASE STUDIES IN CONSTRUCTION MATERIALS</t>
  </si>
  <si>
    <t>High-performance concrete; Curing of seawater and air; Seawater as mixing component; Analyzis of XRD, Petrography, and SEM Porosity; Petrography; Chloride and Friedel's salt</t>
  </si>
  <si>
    <t>PLASTIC-DAMAGE MODEL; TENSILE-STRENGTH; PORE STRUCTURE; TRANSPORT; BINDING; SEAWATER; SAND</t>
  </si>
  <si>
    <t>[Bachtiar, Erniati; Rachim, Fatmawaty] Fajar Univ, Dept Civil Engn, Makassar, South Sulawesi, Indonesia; [Makbul, Ritnawati] Fajar Univ, Fac Engn, Dept Infrastruct &amp; Environm Engn, Makassar, Indonesia; [Tata, Arbain] Univ Khairun, Dept Civil Engn, Ternate, Indonesia; [Irfan-Ul-Hassan, Muhammad] Univ Engn &amp; Technol, Dept Civil Engn, Lahore, Pakistan; [Kirgiz, Mehmet Serkan] Istanbul Sabahattin Zaim Univ, Fac Engn &amp; Nat Sci, Dept Architecture, TR-34303 Istanbul, Turkey; [Syarif, Muhammad; Yusri, Andi] Univ Muhammadiyah Makassar, Dept Architecture, Makassar, Indonesia; [Galdino, Andre Gustavo de Sousa] Fed Inst Educ Sci &amp; Technol Espirito Santo, Ave Vitoria 1729, BR-29040780 Vitoria, ES, Brazil; [Khitab, Anwar] Mirpur Univ Sci &amp; Technol, Dept Civil Engn, Mirpur 10250, Ajk, Pakistan; [Benjeddou, Omrane] Prince Sattam bin Abdulaziz Univ, Coll Engn, Dept Civil Engn, Alkharj 16273, Saudi Arabia; [Kolovos, Konstantinos G.] Hellenic Mil Acad, Lab Inorgan Chem, Vari, Attica, Greece; [Ledesma, Enrique Fernandez] Univ Cordoba, Area Ingn Construcc, EPS BELMEZ, Cordoba, Spain; [Papatzani, Styliani] Univ West Attica, Sch Engn, Dept Surveying &amp; Geoinformat Engn, 250 P Ralli &amp; Thivon, Egaleo 12244, Greece</t>
  </si>
  <si>
    <t>University of Engineering &amp; Technology Lahore; Istanbul Sabahattin Zaim University; Instituto Federal do Espirito Santo (IFES); Prince Sattam Bin Abdulaziz University; Universidad de Cordoba; University of West Attica</t>
  </si>
  <si>
    <t>Bachtiar, E (corresponding author), Fajar Univ, Dept Civil Engn, Makassar, South Sulawesi, Indonesia.</t>
  </si>
  <si>
    <t>erni_nurzaman@yahoo.com</t>
  </si>
  <si>
    <t>Bachtiar, Erniati/AAH-1930-2019; Benjeddou, Omrane/AHI-3882-2022; Kolovos, Konstantinos G./N-1585-2019</t>
  </si>
  <si>
    <t>Bachtiar, Erniati/0000-0001-9242-9653; Benjeddou, Omrane/0000-0001-9173-1068; Kolovos, Konstantinos G./0000-0002-5845-481X; Mahyuddin, Mahyuddin/0009-0005-2000-2489</t>
  </si>
  <si>
    <t>2214-5095</t>
  </si>
  <si>
    <t>CASE STUD CONSTR MAT</t>
  </si>
  <si>
    <t>Case Stud. Constr. Mater.</t>
  </si>
  <si>
    <t>e01208</t>
  </si>
  <si>
    <t>2F5EV</t>
  </si>
  <si>
    <t>WOS:000812933300002</t>
  </si>
  <si>
    <t>Research on Online Detection of Tea Stalks and Insect Foreign Bodies by Near-Infrared Spectroscopy and Fluorescence Image Combined With Electromagnetic Vibration Feeding</t>
  </si>
  <si>
    <t>Tea is one of the health drinks favored by the consumer, but during the process of tea machine harvesting and processing, it is easy to be mixed with tea stalks and foreign insect bodies. It resulted in pollution and influenced the quality and safety of tea products. In the future, we should focus on preventing and detecting of foreign bodies. X-ray imaging technology, based on the density difference between food substrate and foreign bodies, is widely applied to detect metal foreign bodies and extended to high-density plastic. However, it is not suitable for low-density organic foreign bodies such as tea stem insects, so it is urgent to develop a new and non-destructive detection technology and method. In order to solve the problem of overlapping and covering foreign bodies in tea leaves, a scheme of electromagnetic vibration feeding assisted near-infrared spectroscopy(NIRS), and fluorescence image was proposed to online detect endogenous foreign bodies of tea stalks and insects. A total of 600 NIRSranging from 600 to 1 050 nm, and 65 channel images including R, G, B and N were collected by electromagnetic vibrationassisted NIRS and fluorescence imaging system. Among them, 451 spectra were used to develop the model, and the remaining 149 spectra were used to evaluate model performance. The effects of different correction methods such as detrending, multiplicative scatter correction ( MSC), standard normal variate transformation (SNV), variable sorting for normalization (VSN), adaptive iteratively reweighted penalized least squares (airPLS), alternative least squares (ALS), optical path length estimation and correction ( OPLEC) were compared. OPLEC could eliminate the scattering effect better, and the correct recognition rate of the partial least squares discriminant analysis (PLS-DA) model of NIRS increased from 78% to 85%. The results showed that the calibration method of OPLEC combined with the PLS-DA model could- detect foreign bodies in tea more accurately. Compared with the accurate measurement of NIRS, imaging technologyprovided a wider range of detection means. Sixty-five clear blue (B) channel images were analyzed. Using threshold segmentation by maximum interclass variance method, inversing operation, median filtering, connected component labeling and feature extraction, we extracted four feature variables of long axis length, short axis length, short axis ratio and eccentricity, a total of 355 objects of interest. The linear discriminant analysis (LDA) model was established with 267 interesting targets, and 88 interested targets not involved in modeling were used to evaluate the model' s prediction ability. The correct recognition rate reached 64%. The experimental results show that electromagnetic vibration feeding assisted NIRS and fluorescence image is feasible for online detection of tea stalk and foreign insect bodies, providing a low-cost solution for online detection of organic foreign bodies in food.</t>
  </si>
  <si>
    <t>10.3964/j.issn.1000-059(2023)01-0100-07</t>
  </si>
  <si>
    <t>Sun, XD; Liao, QC; Han, X; Aydin, H; Xie, DF; Gong, ZY; Fu, W; Wang, XP</t>
  </si>
  <si>
    <t>Sun Xu-dong; Liao Qi-cheng; Han Xi; Aydin, Hasan; Xie Dong-fu; Gong Zhi-yuan; Fu Wei; Wang Xin-peng</t>
  </si>
  <si>
    <t>SPECTROSCOPY AND SPECTRAL ANALYSIS</t>
  </si>
  <si>
    <t>Chinese</t>
  </si>
  <si>
    <t>Near-infrared spectroscopy (NIRS); Fluorescence; Food foreign body; Tea; Electromagnetic vibration</t>
  </si>
  <si>
    <t>NONDESTRUCTIVE DETECTION; INFESTATION; HIDDEN</t>
  </si>
  <si>
    <t>[Sun Xu-dong; Liao Qi-cheng; Xie Dong-fu; Gong Zhi-yuan; Fu Wei; Wang Xin-peng] East China Jiaotong Univ, Sch Mechatron &amp; Vehicle Engn, Nanchang 330013, Jiangxi, Peoples R China; [Sun Xu-dong] East China Jiaotong Univ, Minist Educ, Key Lab Conveyance Equipment, Nanchang 330013, Jiangxi, Peoples R China; [Han Xi] Beijing Weichuang Yingtu Technol Co Ltd, Beijing 100070, Peoples R China; [Aydin, Hasan] Int Agr Res &amp; Training Ctr IARTC, TR-35660 Menemen Izmir, Turkiye</t>
  </si>
  <si>
    <t>East China Jiaotong University; East China Jiaotong University</t>
  </si>
  <si>
    <t>Sun, XD (corresponding author), East China Jiaotong Univ, Sch Mechatron &amp; Vehicle Engn, Nanchang 330013, Jiangxi, Peoples R China.;Sun, XD (corresponding author), East China Jiaotong Univ, Minist Educ, Key Lab Conveyance Equipment, Nanchang 330013, Jiangxi, Peoples R China.</t>
  </si>
  <si>
    <t>874916937@qq.com</t>
  </si>
  <si>
    <t>OFFICE SPECTROSCOPY &amp; SPECTRAL ANALYSIS</t>
  </si>
  <si>
    <t>NO 76 COLLAGE SOUTH RD BEIJING, BEIJING 100081, PEOPLES R CHINA</t>
  </si>
  <si>
    <t>1000-0593</t>
  </si>
  <si>
    <t>SPECTROSC SPECT ANAL</t>
  </si>
  <si>
    <t>Spectrosc. Spectr. Anal.</t>
  </si>
  <si>
    <t>9B7OS</t>
  </si>
  <si>
    <t>WOS:000934923800015</t>
  </si>
  <si>
    <t>Portable particle mass spectrometer</t>
  </si>
  <si>
    <t>Particle pollutants in air have been confirmed to damage human health. The PM10 concentration is an important parameter for air quality determination. In this study, a portable quadrupole ion trap mass spectrometer (QIT-MS) was developed and used to quantitate microparticles and particulate standards. The instrument can be used to perform online analysis of various microsized particles. The instrument can be used to analyze various sizes of disperse particles with accurate mass by a histogram profile. The overall detection efficiencies of particles in the sample for polystyrene were obtained. PM10-like reference materials were used for calibration to analyze the size and mass distribution of an environmental sample. The instrument shows the potential for quantitation of different particles of an unknown sample.</t>
  </si>
  <si>
    <t>10.1039/d2an00399f</t>
  </si>
  <si>
    <t>Hsiao, CJ; Ozdemir, A; Lin, JL; Chen, CH</t>
  </si>
  <si>
    <t>Hsiao, Chun-Jen; Ozdemir, Abdil; Lin, Jung-Lee; Chen, Chung-Hsuan</t>
  </si>
  <si>
    <t>ANALYST</t>
  </si>
  <si>
    <t>PM10; MICROPLASTICS; POLLUTION; CELL</t>
  </si>
  <si>
    <t>[Hsiao, Chun-Jen; Lin, Jung-Lee; Chen, Chung-Hsuan] Acad Sinica, Genom Res Ctr, Taipei 11529, Taiwan; [Ozdemir, Abdil] Sakarya Univ, Fac Arts &amp; Sci, Dept Chem, TR-54187 Sakarya, Turkey</t>
  </si>
  <si>
    <t>Academia Sinica - Taiwan; Sakarya University</t>
  </si>
  <si>
    <t>Lin, JL (corresponding author), Acad Sinica, Genom Res Ctr, Taipei 11529, Taiwan.</t>
  </si>
  <si>
    <t>harrylin@gate.sinica.edu.tw</t>
  </si>
  <si>
    <t>Ozdemir, Abdil/V-4358-2017; Chen, Chung-Hsuan/F-7940-2012</t>
  </si>
  <si>
    <t>Ozdemir, Abdil/0000-0002-0900-0221; Lin, Jung-Lee/0000-0003-2453-2004</t>
  </si>
  <si>
    <t>Genomics Research Center, Academia Sinica; Ministry of Science and Technology of Taiwan [MOST 109-2823-8-001-002, MOST 110-2622-8-110-001]; Taiwan Advanced Instrument Program (TAIP)</t>
  </si>
  <si>
    <t>Genomics Research Center, Academia Sinica(Academia Sinica - Taiwan); Ministry of Science and Technology of Taiwan(Ministry of Science and Technology, Taiwan); Taiwan Advanced Instrument Program (TAIP)</t>
  </si>
  <si>
    <t>This work was supported by the Genomics Research Center, Academia Sinica, the Ministry of Science and Technology of Taiwan (MOST 109-2823-8-001-002; MOST 110-2622-8-110-001), the Taiwan Advanced Instrument Program (TAIP).</t>
  </si>
  <si>
    <t>0003-2654</t>
  </si>
  <si>
    <t>1364-5528</t>
  </si>
  <si>
    <t>Analyst</t>
  </si>
  <si>
    <t>JUN 13</t>
  </si>
  <si>
    <t>2B3IP</t>
  </si>
  <si>
    <t>WOS:000786694500001</t>
  </si>
  <si>
    <t>Assessing the structural, mechanical and dispersible characteristics of flushable nonwovens</t>
  </si>
  <si>
    <t>Flushable wipes have become popular among consumers who worry about environmental problems the world confronts today. However, whether these wipes have a positive effect on environmental protection is contradictory because of the lack of government regulations and legal obligations. Starting from this point, in this study, we characterized commercially available flushable products, which were manufactured from various raw materials by different production methods, in order to understand the relationship between their structure and performance properties. The results showed that production technology had a significant effect on the structural, mechanical, and dispersible properties of nonwovens. The disintegration percentage of nonwovens was inversely related to their wet strength. The findings of this study will be helpful in the design of new flushable nonwovens for improved wet strength and dispersibility performance.</t>
  </si>
  <si>
    <t>10.1177/0040517519873055</t>
  </si>
  <si>
    <t>Atasagun, HG; Bhat, GS</t>
  </si>
  <si>
    <t>Atasagun, Hande G.; Bhat, Gajanan S.</t>
  </si>
  <si>
    <t>TEXTILE RESEARCH JOURNAL</t>
  </si>
  <si>
    <t>airlaid; disintegration; extension; flushable wipes; FTIR; maximum load; XRD; wetlace</t>
  </si>
  <si>
    <t>MARINE-ENVIRONMENT; WET STRENGTH; PRESSURE SUM; MICROPLASTICS; FIBER; CRYSTALLINITY; POLLUTION; LIQUID; PULP</t>
  </si>
  <si>
    <t>[Atasagun, Hande G.] Dokuz Eylul Univ, Izmir Vocat Sch, Dept Tech Programs, Izmir, Turkey; [Bhat, Gajanan S.] Univ Georgia, Dept Text Merchandising &amp; Interiors, Athens, GA 30602 USA</t>
  </si>
  <si>
    <t>Dokuz Eylul University; University System of Georgia; University of Georgia</t>
  </si>
  <si>
    <t>Atasagun, HG (corresponding author), Dokuz Eylul Univ, Izmir Vocat Sch, TR-35380 Izmir, Turkey.</t>
  </si>
  <si>
    <t>handegul.yuksel@deu.edu.tr</t>
  </si>
  <si>
    <t>Bhat, Gajanan/F-1937-2010; Atasağun, Hande Gül/I-6073-2019</t>
  </si>
  <si>
    <t>Bhat, Gajanan/0000-0003-4485-7586; ATASAGUN, HANDE GUL/0000-0001-6956-8727</t>
  </si>
  <si>
    <t>Scientific and Technological Research Council of Turkey (TUBITAK)-2219 International Post-Doctoral Research Fellowship Program</t>
  </si>
  <si>
    <t>Scientific and Technological Research Council of Turkey (TUBITAK)-2219 International Post-Doctoral Research Fellowship Program(Turkiye Bilimsel ve Teknolojik Arastirma Kurumu (TUBITAK))</t>
  </si>
  <si>
    <t>The authors disclosed receipt of the following financial support for the research, authorship, and/or publication of this article: The Scientific and Technological Research Council of Turkey (TUBITAK)-2219 International Post-Doctoral Research Fellowship Program.</t>
  </si>
  <si>
    <t>0040-5175</t>
  </si>
  <si>
    <t>1746-7748</t>
  </si>
  <si>
    <t>TEXT RES J</t>
  </si>
  <si>
    <t>Text. Res. J.</t>
  </si>
  <si>
    <t>5-6</t>
  </si>
  <si>
    <t>KN2XX</t>
  </si>
  <si>
    <t>WOS:000491709600001</t>
  </si>
  <si>
    <t>The future for Mediterranean wetlands: 50 key issues and 50 important conservation research questions</t>
  </si>
  <si>
    <t>Wetlands are critically important for biodiversity and human wellbeing, but face a range of challenges. This is especially true in the Mediterranean region, where wetlands support endemic and threatened species and remain integral to human societies, but have been severely degraded in recent decades. Here, in order to raise awareness of future challenges and opportunities for Mediterranean wetlands, and to inform proactive research and management, we identified (a) 50 key issues that might affect Mediterranean wetlands between 2020 and 2050, and (b) 50 important research questions that, if answered, would have the greatest impact on the conservation of Mediterranean wetlands between 2020 and 2050. We gathered ideas through an online survey and review of recent literature. A diverse assessment panel prioritised ideas through an iterative, anonymised, Delphi-like process of scoring, voting and discussion. The prioritised issues included some that are already well known but likely to have a large impact on Mediterranean wetlands in the next 30 years (e.g. the accumulation of dams and reservoirs, plastic pollution and weak governance), and some that are currently overlooked in the context of Mediterranean wetlands (e.g. increasing desalination capacity and development of antimicrobial resistance). Questions largely focused on how best to carry out conservation interventions, or understanding the impacts of threats to inform conservation decision-making. This analysis will support research, policy and practice related to environmental conservation and sustainable development in the Mediterranean, and provides a model for similar analyses elsewhere in the world.</t>
  </si>
  <si>
    <t>10.1007/s10113-020-01743-1</t>
  </si>
  <si>
    <t>Taylor, NG; Grillas, P; Al Hreisha, H; Balkiz, O; Borie, M; Boutron, O; Catita, A; Champagnon, J; Cherif, S; Cicek, K; Costa, LT; Dakki, M; Fois, M; Galewski, T; Galli, A; Georgiadis, NM; Green, AJ; Hermoso, V; Kapedani, R; Lange, MA; Mateljak, Z; Osta, M; Papastergiadou, E; Papazoglou, C; Sabater, S; Samraoui, B; Samraoui, F; Bachir, AS; Tankovic, E; Thevenet, M; Troya, A; Sutherland, WJ</t>
  </si>
  <si>
    <t>Taylor, Nigel G.; Grillas, Patrick; Al Hreisha, Hazem; Balkiz, Ozge; Borie, Maud; Boutron, Olivier; Catita, Ana; Champagnon, Jocelyn; Cherif, Semia; Cicek, Kerim; Costa, Luis T.; Dakki, Mohamed; Fois, Mauro; Galewski, Thomas; Galli, Alessandro; Georgiadis, Nicholas M.; Green, Andy J.; Hermoso, Virgilio; Kapedani, Rezart; Lange, Manfred A.; Mateljak, Zoran; Osta, Maher; Papastergiadou, Eva; Papazoglou, Clairie; Sabater, Sergi; Samraoui, Boudjema; Samraoui, Farrah; Bachir, Abdelkrim Si; Tankovic, Eva; Thevenet, Mathieu; Troya, Antonio; Sutherland, William J.</t>
  </si>
  <si>
    <t>REGIONAL ENVIRONMENTAL CHANGE</t>
  </si>
  <si>
    <t>Horizon scan; Foresight; Ramsar; Aquatic ecosystems; Europe; Middle East and North Africa</t>
  </si>
  <si>
    <t>BIODIVERSITY CONSERVATION; HORIZON SCAN; POLICY; GOVERNANCE; LANDSCAPE; IMPACT; LEVEL</t>
  </si>
  <si>
    <t>[Taylor, Nigel G.; Grillas, Patrick; Borie, Maud; Boutron, Olivier; Champagnon, Jocelyn; Galewski, Thomas] Res Inst Conservat Mediterranean Wetlands, F-13200 Arles, France; [Al Hreisha, Hazem] Azraq Wetland Reserve, POB 1215, Jubeiha 11941, Jordan; [Balkiz, Ozge] Doga Koruma Merkezi Nat Conservat Ctr, Cigdem Mah 1594 Sok 3, TR-06530 Ankara, Turkey; [Borie, Maud] Kings Coll London, Dept Geog, London WC2R 2LS, England; [Catita, Ana] Ctr Empresarial Grandola, Dev &amp; Innovat Network RCDI, Fraccao E Incubadora Empresas Estrada Aldeia Futu, P-7570272 Grandola, Portugal; [Catita, Ana] Inst Ciencias Sociais, Assoc Portuguesa Geografos, Av Prof Anibal Bettencourt 9, P-1600189 Lisbon, Portugal; [Catita, Ana] Univ Acores, Assoc Portuguesa Desenvolvimento Reg, Rua Capitao Joao Avila, P-9700042 Angra Do Heroismo, Portugal; [Cherif, Semia] Univ Tunis El Manar, Lab Rech Mat &amp; Environm Dev Durable LR18ES10, ISSBAT, 9 Ave Zouheir Essefi, Tunis 1006, Tunisia; [Cicek, Kerim] Ege Univ, Sect Zool, Dept Biol, Fac Sci, Izmir, Turkey; [Costa, Luis T.] MAVA Fdn, Rue Mauverney 28, CH-1196 Gland, Switzerland; [Dakki, Mohamed] Univ Mohammed V Rabat, Inst Sci, Dept Zool &amp; Ecol Anim, Rabat, Morocco; [Dakki, Mohamed] Univ Mohammed V Rabat, Inst Sci, Ctr Etud Migrat Oiseaux CEMO, Rabat, Morocco; [Fois, Mauro] Univ Cagliari, Ctr Conservaz Biodivers, Dipartimento Sci Vita Ambiente, Viale S Ignazio Laconi 13, I-09123 Cagliari, Italy; [Galli, Alessandro] Global Footprint Network, Ave Louis Casai 18, CH-1209 Geneva, Switzerland; [Georgiadis, Nicholas M.] Mediterranean Inst Nat &amp; Anthropos MedINA, Athens 10671, Greece; [Green, Andy J.] EBD CSIC, Dept Wetland Ecol, Estac Biol Donana, Amer Vespucio 26, Seville 41092, Spain; [Hermoso, Virgilio] Ctr Ciencia Tecnol &amp; Forestal Catalunya CTFC, Solsona, Spain; [Hermoso, Virgilio] Griffith Univ, Australian Rivers Inst, Nathan, Qld, Australia; [Kapedani, Rezart] Reg Environm Ctr Albania, Rr Ismail Qemali 27,Kati Floor 3, Tirana 1000, Albania; [Lange, Manfred A.] Cyprus Inst, Energy Environm &amp; Water Res Ctr, Nicosia, Cyprus; [Lange, Manfred A.] Cyprus Inst, Future Earth MENA Reg Ctr, Nicosia, Cyprus; [Mateljak, Zoran] WWF Adria, Zelinska 2, Zagreb 10000, Croatia; [Osta, Maher] Soc Protect Nat Lebanon, Awad Bldg,6th Floor,Abdel Aziz St,POB 11-5665, Beirut, Lebanon; [Papastergiadou, Eva] Univ Patras, Dept Biol, Univ Campus Rio, Patras 26500, Greece; [Papazoglou, Clairie] POB 20495, Nicosia, Cyprus; [Sabater, Sergi] Catalan Inst Water Res ICRA, Emili Grahit 101, Girona 17003, Spain; [Sabater, Sergi] Univ Girona, Inst Aquat Ecol, Girona 17003, Spain; [Samraoui, Boudjema] Univ Badji Mokhtar Annaba, Dept Biol, Annaba, Algeria; [Samraoui, Boudjema; Samraoui, Farrah] Univ 8 Mai 1945 Guelma, Lab Conservat Zones Humides, Guelma, Algeria; [Samraoui, Farrah] Univ 8 Mai 1945 Guelma, Dept Ecol, Guelma, Algeria; [Bachir, Abdelkrim Si] Univ Batna 2, Fac Life &amp; Nat Sci, Dept Ecol &amp; Environm, Batna, Algeria; [Tankovic, Eva; Thevenet, Mathieu] Mediterranean Small Isl Initiat PIM, Lycee Calanques, 89 Traverse Parangon, F-13008 Marseille, France; [Troya, Antonio] IUCN Ctr Mediterranean Cooperat, C Marie Curie 22,Parque Tecnol Andalucia, Malaga 29590, Spain; [Sutherland, William J.] Univ Cambridge, Dept Zool, David Attenborough Bldg,Pembroke St, Cambridge CB2 3QZ, England</t>
  </si>
  <si>
    <t>University of London; King's College London; Institute of Social Sciences, University of Lisbon (ICS-UL); Universidade de Lisboa; Universidade dos Acores; Universite de Tunis-El-Manar; Ege University; Mohammed V University in Rabat; Mohammed V University in Rabat; University of Cagliari; Consejo Superior de Investigaciones Cientificas (CSIC); CSIC - Estacion Biologica de Donana (EBD); Griffith University; University of Patras; Institut Catala de Recerca de l'Aigua (ICRA); Universitat de Girona; Universite Badji Mokhtar - Annaba; Universite 8 Mai 1945 de Guelma; Universite 8 Mai 1945 de Guelma; University of Batna 2; University of Cambridge</t>
  </si>
  <si>
    <t>Taylor, NG (corresponding author), Res Inst Conservat Mediterranean Wetlands, F-13200 Arles, France.</t>
  </si>
  <si>
    <t>taylor@tourduvalat.org</t>
  </si>
  <si>
    <t>Taylor, Nigel G/AFO-6772-2022; Çiçek, Kerim/F-2600-2015; Samraoui, Farrah/E-6757-2011; Sutherland, William/B-1291-2013; Fois, Mauro/T-7059-2019; Green, Andy J/A-5189-2008; Samraoui, Boudjéma/E-6761-2011</t>
  </si>
  <si>
    <t>Taylor, Nigel G/0000-0002-8643-826X; Çiçek, Kerim/0000-0002-6753-0757; Fois, Mauro/0000-0002-4178-0790; Green, Andy J/0000-0002-1268-4951; Samraoui, Boudjéma/0000-0002-0608-9021; Papastergiadou, Eva/0000-0003-4430-878X; Boutron, Olivier/0000-0001-6495-7563; Champagnon, Jocelyn/0000-0003-4850-8033; Si Bachir, Abdelkrim/0000-0001-8501-1830</t>
  </si>
  <si>
    <t>Arcadia</t>
  </si>
  <si>
    <t>WJS is funded by Arcadia.</t>
  </si>
  <si>
    <t>1436-3798</t>
  </si>
  <si>
    <t>1436-378X</t>
  </si>
  <si>
    <t>REG ENVIRON CHANGE</t>
  </si>
  <si>
    <t>Reg. Envir. Chang.</t>
  </si>
  <si>
    <t>QZ8IX</t>
  </si>
  <si>
    <t>Green Published, Green Submitted, Bronze</t>
  </si>
  <si>
    <t>WOS:000630965400001</t>
  </si>
  <si>
    <t>Developments and application of chitosan-based adsorbents for wastewater treatments</t>
  </si>
  <si>
    <t>Water quality is deteriorating continuously as increasing levels of toxic inorganic and organic contaminants mostly discharging into the aquatic environment. Removal of such pollutants from the water system is an emerging research area. During the past few years use of biodegradable and biocompatible natural additives has attracted considerable attention to alleviate pollutants from wastewater. The chitosan and its composites emerged as a promising adsorbents due to their low price, abundance, amino, and hydroxyl groups, as well as their potential to remove various toxins from wastewater. However, a few challenges associated with its practical use include lack of selectivity, low mechanical strength, and solubility in acidic medium. Therefore, several approaches for modification have been explored to improve the physicochemical properties of chitosan for wastewater treatment. Chitosan nanocomposites found effective for the removal of metals, pharmaceuticals, pesticides, microplastics from the wastewaters. Nanoparticle doped with chitosan in the form of nano-biocomposites has recently gained much attention and proven a successful tool for water purification. Hence, applying chitosan-based adsorbents with numerous modifications is a cutting-edge approach to eliminating toxic pollutants from aquatic systems with the global aim of making potable water available worldwide. This review presents an overview of distinct materials and methods for developing novel chitosan-based nanocomposites for wastewater treatment.</t>
  </si>
  <si>
    <t>10.1016/j.envres.2023.115530</t>
  </si>
  <si>
    <t>Bhatt, P; Joshi, S; Bayram, GMU; Khati, P; Simsek, H</t>
  </si>
  <si>
    <t>Bhatt, Pankaj; Joshi, Samiksha; Bayram, Gulsum Melike Urper; Khati, Priyanka; Simsek, Halis</t>
  </si>
  <si>
    <t>Chitosan; Nanoparticles; Wastewater treatment; Biosorbents; Nano-biocomposites</t>
  </si>
  <si>
    <t>HEAVY-METAL IONS; AQUEOUS-SOLUTION; ACTIVATED CARBON; MAGNETIC CHITOSAN; ANTIBACTERIAL ACTIVITY; GRAPHENE-OXIDE; HEXAVALENT CHROMIUM; METHYL-ORANGE; ADSORPTION PROPERTIES; EFFICIENT ADSORPTION</t>
  </si>
  <si>
    <t>[Bhatt, Pankaj; Simsek, Halis] Purdue Univ, Dept Agr &amp; Biol Engn, W Lafayette, IN 47906 USA; [Joshi, Samiksha] Graph Era Hill Univ Bhimtal, Naini Tal, Uttarakhand, India; [Bayram, Gulsum Melike Urper] Istanbul Tech Univ, Natl Res Ctr Membrane Technol, TR-34469 Istanbul, Turkiye; [Khati, Priyanka] Vivekananda Parvatiya Krishi Anusandhan Sansthan, Crop Prod Div, Almora, Uttarakhand, India</t>
  </si>
  <si>
    <t>Purdue University System; Purdue University; Purdue University West Lafayette Campus; Istanbul Technical University; Indian Council of Agricultural Research (ICAR); ICAR - Vivekananda Parvatiya Krishi Anusandhan Sansthan</t>
  </si>
  <si>
    <t>Bhatt, P; Simsek, H (corresponding author), Purdue Univ, Dept Agr &amp; Biol Engn, W Lafayette, IN 47906 USA.</t>
  </si>
  <si>
    <t>pankajbhatt.bhatt472@gmail.com; simsek@purdue.edu</t>
  </si>
  <si>
    <t>Urper-Bayram, Gulsum Melike/E-3378-2013; Simsek, Halis/GNM-6269-2022</t>
  </si>
  <si>
    <t>Simsek, Halis/0000-0001-9031-5142; BHATT, Dr. PANKAJ/0000-0002-0356-5715</t>
  </si>
  <si>
    <t>C1RM4</t>
  </si>
  <si>
    <t>WOS:000959773500001</t>
  </si>
  <si>
    <t>Effect of altered human exposome on the skin and mucosal epithelial barrier integrity</t>
  </si>
  <si>
    <t>Pollution in the world and exposure of humans and nature to toxic substances is continuously worsening at a rapid pace. In the last 60 years, human and domestic animal health has been challenged by continuous exposure to toxic substances and pollutants because of uncontrolled growth, modernization, and industrialization. More than 350,000 new chemicals have been introduced to our lives, mostly without any reasonable control of their health effects and toxicity. A plethora of studies show exposure to these harmful substances during this period with their implications on the skin and mucosal epithelial barrier and increasing prevalence of allergic and autoimmune diseases in the context of the epithelial barrier hypothesis. Exposure to these substances causes an epithelial injury with peri-epithelial inflammation, microbial dysbiosis and bacterial translocation to sub-epithelial areas, and immune response to dysbiotic bacteria. Here, we provide scientific evidence on the altered human exposome and its impact on epithelial barriers.</t>
  </si>
  <si>
    <t>10.1080/21688370.2022.2133877</t>
  </si>
  <si>
    <t>Pat, Y; Ogulur, I; Yazici, D; Mitamura, Y; Cevhertas, L; Kucukkase, OC; Mesisser, SS; Akdis, M; Nadeau, K; Akdis, CA</t>
  </si>
  <si>
    <t>Pat, Yagiz; Ogulur, Ismail; Yazici, Duygu; Mitamura, Yasutaka; Cevhertas, Lacin; Kucukkase, Ozan C.; Mesisser, Sanne S.; Akdis, Mubeccel; Nadeau, Kari; Akdis, Cezmi A.</t>
  </si>
  <si>
    <t>TISSUE BARRIERS</t>
  </si>
  <si>
    <t>Detergents; epithelial barrier; microplastics; nanoparticles; ozone; particulate matter; exposome</t>
  </si>
  <si>
    <t>INCREASED INTESTINAL PERMEABILITY; ZONULIN UP-REGULATION; AIR-POLLUTION; OCCUPATIONAL ASTHMA; GUT MICROBIOTA; BACTERIAL TRANSLOCATION; ALLERGIC RHINITIS; NITROGEN-DIOXIDE; DIESEL EXHAUST; LEAKY GUT</t>
  </si>
  <si>
    <t>[Pat, Yagiz; Ogulur, Ismail; Yazici, Duygu; Mitamura, Yasutaka; Cevhertas, Lacin; Kucukkase, Ozan C.; Mesisser, Sanne S.; Akdis, Mubeccel; Akdis, Cezmi A.] Univ Zurich, Swiss Inst Allergy &amp; Asthma Res SIAF, Davos, Switzerland; [Pat, Yagiz] Adnan Menderes Univ, Fac Med, Dept Med Microbiol, Istanbul, Turkey; [Cevhertas, Lacin] Bursa Uludag Univ, Inst Hlth Sci, Dept Med Immunol, Bursa, Turkey; [Nadeau, Kari] Stanford Univ, Sean N Parker Ctr Allergy &amp; Asthma Res, Stanford, CA 94305 USA; [Nadeau, Kari] Stanford Univ, Div Pulm Allergy &amp; Crit Care Med, Stanford, CA 94305 USA; [Nadeau, Kari] Stanford Univ, Div Pulm Allergy &amp; Crit Care Med, Dept Med, Stanford, CA 94305 USA; [Akdis, Cezmi A.] Christine Kuhne Ctr Allergy Res &amp; Educ, Davos, Switzerland</t>
  </si>
  <si>
    <t>Swiss Institute of Allergy &amp; Asthma Research; University of Zurich; Adnan Menderes University; Uludag University; Stanford University; Stanford University; Stanford University</t>
  </si>
  <si>
    <t>Pat, Y (corresponding author), Univ Zurich, Swiss Inst Allergy &amp; Asthma Res SIAF, Davos, Switzerland.</t>
  </si>
  <si>
    <t>yagizpat@gmail.com</t>
  </si>
  <si>
    <t>Ogulur, Ismail/GYV-4415-2022; Yazici, Duygu/AAM-2979-2020</t>
  </si>
  <si>
    <t>Yazici, Duygu/0000-0001-9094-6542; nadeau, kari/0000-0002-2146-2955; Mitamura, Yasutaka/0000-0001-6389-9285; Kucukkase, Ozan C./0000-0001-7182-4021; pat, yagiz/0000-0003-4268-4933; Meisser, Sanne Steengaard/0000-0002-3063-6355; Akdis, Mubeccel/0000-0003-0554-9943; Cevhertas, Lacin/0000-0003-2287-3569</t>
  </si>
  <si>
    <t>2168-8370</t>
  </si>
  <si>
    <t>Tissue Barriers</t>
  </si>
  <si>
    <t>2022 OCT 21</t>
  </si>
  <si>
    <t>Medicine, Research &amp; Experimental</t>
  </si>
  <si>
    <t>Research &amp; Experimental Medicine</t>
  </si>
  <si>
    <t>5L6NV</t>
  </si>
  <si>
    <t>WOS:000870529100001</t>
  </si>
  <si>
    <t>Epithelial barrier hypothesis: Effect of external exposome on microbiome and epithelial barriers in allergic disease</t>
  </si>
  <si>
    <t>Environmental exposure plays a major role in the development of allergic diseases. The exposome can be classified into internal (e.g., aging, hormones, and metabolic processes), specific external (e.g., chemical pollutants or lifestyle factors), and general external (e.g., broader socioeconomic and psychological contexts) domains, all of which are interrelated. All the factors we are exposed to, from the moment of conception to death, are part of the external exposome. Several hundreds of thousands of new chemicals have been introduced in modern life without our having a full understanding of their toxic health effects and ways to mitigate these effects. Climate change, air pollution, microplastics, tobacco smoke, changes and loss of biodiversity, alterations in dietary habits, and the microbiome due to modernization, urbanization, and globalization constitute our surrounding environment and external exposome. Some of these factors disrupt the epithelial barriers of the skin and mucosal surfaces, and these disruptions have been linked in the last few decades to the increasing prevalence and severity of allergic and inflammatory diseases such as atopic dermatitis, food allergy, allergic rhinitis, chronic rhinosinusitis, eosinophilic esophagitis, and asthma. The epithelial barrier hypothesis provides a mechanistic explanation of how these factors can explain the rapid increase in allergic and autoimmune diseases. In this review, we discuss factors affecting the planet's health in the context of the 'epithelial barrier hypothesis,' including climate change, pollution, changes and loss of biodiversity, and emphasize the changes in the external exposome in the last few decades and their effects on allergic diseases. In addition, the roles of increased dietary fatty acid consumption and environmental substances (detergents, airborne pollen, ozone, microplastics, nanoparticles, and tobacco) affecting epithelial barriers are discussed. Considering the emerging data from recent studies, we suggest stringent governmental regulations, global policy adjustments, patient education, and the establishment of individualized control measures to mitigate environmental threats and decrease allergic disease.</t>
  </si>
  <si>
    <t>10.1111/all.15240</t>
  </si>
  <si>
    <t>Sozener, ZC; Ozturk, BO; Cerci, P; Turk, M; Akin, BG; Akdis, M; Altiner, S; Ozbey, U; Ogulur, I; Mitamura, Y; Yilmaz, I; Nadeau, K; Ozdemir, C; Mungan, D; Akdis, CA</t>
  </si>
  <si>
    <t>Sozener, Zeynep Celebi; Ozturk, Betul Ozdel; Cerci, Pamir; Turk, Murat; Akin, Begum Gorgulu; Akdis, Mubeccel; Altiner, Seda; Ozbey, Umus; Ogulur, Ismail; Mitamura, Yasutaka; Yilmaz, Insu; Nadeau, Kari; Ozdemir, Cevdet; Mungan, Dilsad; Akdis, Cezmi A.</t>
  </si>
  <si>
    <t>ALLERGY</t>
  </si>
  <si>
    <t>air pollution; climate change; epithelial barrier; exposome; nutrition</t>
  </si>
  <si>
    <t>RESOLVING LIPID MEDIATORS; AIR-POLLUTION EXPOSURE; INFANT GUT MICROBIOTA; OMEGA-6 FATTY-ACIDS; HOUSE-DUST MITE; ATOPIC-DERMATITIS; PARTICULATE MATTER; CLIMATE-CHANGE; INTESTINAL PERMEABILITY; FOOD ALLERGY</t>
  </si>
  <si>
    <t>[Sozener, Zeynep Celebi; Akin, Begum Gorgulu] Ankara City Hosp, Clin Immunol &amp; Allerg Dis, Univ Mahallesi 1604,Cadde 9, TR-06800 Ankara, Turkey; [Ozturk, Betul Ozdel; Mungan, Dilsad] Ankara Univ, Sch Med, Dept Chest Dis, Div Immunol &amp; Allerg Dis, Ankara, Turkey; [Cerci, Pamir] Eskisehir City Hosp, Clin Immunol &amp; Allerg Dis, Eskisehir, Turkey; [Turk, Murat] Kayseri City Hosp, Clin Immunol &amp; Allerg Dis, Kayseri, Turkey; [Akdis, Mubeccel; Ogulur, Ismail; Mitamura, Yasutaka; Akdis, Cezmi A.] Univ Zurich, Swiss Inst Allergy &amp; Asthma Res SIAF, Davos, Switzerland; [Altiner, Seda] Kahramanmaras Necip Fazil City Hosp, Div Immunol &amp; Allerg Dis, Clin Internal Med, Kahramanmaras, Turkey; [Ozbey, Umus] Ankara Univ, Dept Nutr &amp; Diet, Ankara, Turkey; [Yilmaz, Insu] Erciyes Univ, Dept Chest Dis, Div Immunol &amp; Allerg Dis, Kayseri, Turkey; [Nadeau, Kari] Stanford Univ, Sean N Parker Ctr Allergy &amp; Asthma Res, Sch Med, Div Pulm &amp; Crit Care Med,Dept Med, Stanford, CA 94305 USA; [Ozdemir, Cevdet] Istanbul Univ, Dept Pediat Basic Sci, Inst Child Hlth, Istanbul, Turkey; [Ozdemir, Cevdet] Istanbul Univ, Dept Pediat, Istanbul Fac Med, Div Pediat Allergy &amp; Immunol, Istanbul, Turkey; [Akdis, Cezmi A.] Christine Kuhne Ctr Allergy Res &amp; Educ CK CARE, Davos, Switzerland</t>
  </si>
  <si>
    <t>City Hospital Ankara; Ankara University; Swiss Institute of Allergy &amp; Asthma Research; University of Zurich; Kahramanmaras Necip Fazil City Hospital; Ankara University; Erciyes University; Stanford University; Istanbul University; Istanbul University</t>
  </si>
  <si>
    <t>Sozener, ZC (corresponding author), Ankara City Hosp, Clin Immunol &amp; Allerg Dis, Univ Mahallesi 1604,Cadde 9, TR-06800 Ankara, Turkey.;Akdis, CA (corresponding author), Swiss Inst Allergy &amp; Asthma Res, Herman Burchard Str 9, CH-7265 Davos, Switzerland.</t>
  </si>
  <si>
    <t>zeynepsozener@gmail.com; akdisac@siaf.uzh.ch</t>
  </si>
  <si>
    <t>Cerci, Pamir/GZG-8627-2022; Türk, Murat/ADX-4459-2022; Ozdemir, Cevdet/X-5856-2018; Sözener, zeynep çelebi/X-3688-2019; altiner, seda/HJZ-4838-2023; Çerçi, Pamir/AAJ-8232-2021; Türk, Murat/J-7028-2019; Gorgulu Akin, Begum/GSE-6180-2022; Ogulur, Ismail/GYV-4415-2022; Mitamura, Yasutaka/AAT-2110-2021</t>
  </si>
  <si>
    <t>Cerci, Pamir/0000-0002-0844-6352; Türk, Murat/0000-0002-3290-2661; Ozdemir, Cevdet/0000-0002-9284-4520; Çerçi, Pamir/0000-0002-0844-6352; Gorgulu Akin, Begum/0000-0002-6200-0909; Mitamura, Yasutaka/0000-0001-6389-9285</t>
  </si>
  <si>
    <t>0105-4538</t>
  </si>
  <si>
    <t>1398-9995</t>
  </si>
  <si>
    <t>Allergy</t>
  </si>
  <si>
    <t>1B5DG</t>
  </si>
  <si>
    <t>WOS:000755601200001</t>
  </si>
  <si>
    <t>Challenges for Sustained Observing and Forecasting Systems in the Mediterranean Sea</t>
  </si>
  <si>
    <t>The Mediterranean community represented in this paper is the result of more than 30 years of EU and nationally funded coordination, which has led to key contributions in science concepts and operational initiatives. Together with the establishment of operational services, the community has coordinated with universities, research centers, research infrastructures and private companies to implement advanced multi-platform and integrated observing and forecasting systems that facilitate the advancement of operational services, scientific achievements and mission-oriented innovation. Thus, the community can respond to societal challenges and stakeholders needs, developing a variety of fit-for-purpose services such as the Copernicus Marine Service. The combination of state-of-the-art observations and forecasting provides new opportunities for downstream services in response to the needs of the heavily populated Mediterranean coastal areas and to climate change. The challenge over the next decade is to sustain ocean observations within the research community, to monitor the variability at small scales, e.g., the mesoscale/submesoscale, to resolve the sub-basin/seasonal and inter-annual variability in the circulation, and thus establish the decadal variability, understand and correct the model-associated biases and to enhance model-data integration and ensemble forecasting for uncertainty estimation. Better knowledge and understanding of the level of Mediterranean variability will enable a subsequent evaluation of the impacts and mitigation of the effect of human activities and climate change on the biodiversity and the ecosystem, which will support environmental assessments and decisions. Further challenges include extending the science-based added-value products into societal relevant downstream services and engaging with communities to build initiatives that will contribute to the 2030 Agenda and more specifically to SDG14 and the UN's Decade of Ocean Science for sustainable development, by this contributing to bridge the science-policy gap. The Mediterranean observing and forecasting capacity was built on the basis of community best practices in monitoring and modeling, and can serve as a basis for the development of an integrated global ocean observing system.</t>
  </si>
  <si>
    <t>10.3389/fmars.2019.00568</t>
  </si>
  <si>
    <t>Tintore, J; Pinardi, N; Alvarez-Fanjul, E; Aguiar, E; Alvarez-Berastegui, D; Bajo, M; Balbin, R; Bozzano, R; Nardelli, BB; Cardin, V; Casas, B; Charcos-Llorens, M; Chiggiato, J; Clementi, E; Coppini, G; Coppola, L; Cossarini, G; Deidun, A; Deudero, S; D'Ortenzio, F; Drago, A; Drudi, M; El Serafy, G; Escudier, R; Farcy, P; Federico, I; Fernandez, JG; Ferrarin, C; Fossi, C; Frangoulis, C; Galgani, F; Gana, S; Lafuente, JG; Sotillo, MG; Garreau, P; Gertman, I; Gomez-Pujol, L; Grandi, A; Hayes, D; Hernandez-Lasheras, J; Herut, B; Heslop, E; Hilmi, K; Juza, M; Kallos, G; Korres, G; Lecci, R; Lazzari, P; Lorente, P; Liubartseva, S; Louanchi, F; Malacic, V; Mannarini, G; March, D; Marullo, S; Mauri, E; Meszaros, L; Mourre, B; Mortier, L; Munoz-Mas, C; Novellino, A; Obaton, D; Orfila, A; Pascual, A; Pensieri, S; Gomez, BP; Rubio, SP; Perivoliotis, L; Petihakis, G; de la Villeon, LP; Pistoia, J; Poulain, PM; Pouliquen, S; Prieto, L; Raimbault, P; Reglero, P; Reyes, E; Rotllan, P; Ruiz, S; Ruiz, J; Ruiz, I; Ruiz-Orejon, LF; Salihoglu, B; Salon, S; Sammartino, S; Arcilla, AS; Sanchez-Roman, A; Sannino, G; Santoleri, R; Sarda, R; Schroeder, K; Simoncelli, S; Sofianos, S; Sylaios, G; Tanhua, T; Teruzzi, A; Testor, P; Tezcan, D; Torner, M; Trotta, F; Umgiesser, G; von Schuckmann, K; Verri, G; Vilibic, I; Yucel, M; Zavatarelli, M; Zodiatis, G</t>
  </si>
  <si>
    <t>Tintore, Joaquin; Pinardi, Nadia; Alvarez-Fanjul, Enrique; Aguiar, Eva; Alvarez-Berastegui, Diego; Bajo, Marco; Balbin, Rosa; Bozzano, Roberto; Nardelli, Bruno Buongiorno; Cardin, Vanessa; Casas, Benjamin; Charcos-Llorens, Miguel; Chiggiato, Jacopo; Clementi, Emanuela; Coppini, Giovanni; Coppola, Laurent; Cossarini, Gianpiero; Deidun, Alan; Deudero, Salud; D'Ortenzio, Fabrizio; Drago, Aldo; Drudi, Massimiliano; El Serafy, Ghada; Escudier, Romain; Farcy, Patrick; Federico, Ivan; Gabriel Fernandez, Juan; Ferrarin, Christian; Fossi, Cristina; Frangoulis, Constantin; Galgani, Francois; Gana, Slim; Garcia Lafuente, Jesus; Garcia Sotillo, Marcos; Garreau, Pierre; Gertman, Isaac; Gomez-Pujol, Lluis; Grandi, Alessandro; Hayes, Daniel; Hernandez-Lasheras, Jaime; Herut, Barak; Heslop, Emma; Hilmi, Karim; Juza, Melanie; Kallos, George; Korres, Gerasimos; Lecci, Rita; Lazzari, Paolo; Lorente, Pablo; Liubartseva, Svitlana; Louanchi, Ferial; Malacic, Vlado; Mannarini, Gianandrea; March, David; Marullo, Salvatore; Mauri, Elena; Meszaros, Lorinc; Mourre, Baptiste; Mortier, Laurent; Munoz-Mas, Cristian; Novellino, Antonio; Obaton, Dominique; Orfila, Alejandro; Pascual, Ananda; Pensieri, Sara; Perez Gomez, Begona; Perez Rubio, Susana; Perivoliotis, Leonidas; Petihakis, George; Petit de la Villeon, Loic; Pistoia, Jenny; Poulain, Pierre-Marie; Pouliquen, Sylvie; Prieto, Laura; Raimbault, Patrick; Reglero, Patricia; Reyes, Emma; Rotllan, Paz; Ruiz, Simon; Ruiz, Javier; Ruiz, Inmaculada; Francisco Ruiz-Orejon, Luis; Salihoglu, Baris; Salon, Stefano; Sammartino, Simone; Sanchez Arcilla, Agustin; Sanchez-Roman, Antonio; Sannino, Gianmaria; Santoleri, Rosalia; Sarda, Rafael; Schroeder, Katrin; Simoncelli, Simona; Sofianos, Sarantis; Sylaios, Georgios; Tanhua, Toste; Teruzzi, Anna; Testor, Pierre; Tezcan, Devrim; Torner, Marc; Trotta, Francesco; Umgiesser, Georg; von Schuckmann, Karina; Verri, Giorgia; Vilibic, Ivica; Yucel, Mustafa; Zavatarelli, Marco; Zodiatis, George</t>
  </si>
  <si>
    <t>observing and forecasting systems; sustained observations; ocean variability; FAIR data; climate; operational services; science with and for society; SDG's</t>
  </si>
  <si>
    <t>DECISION-SUPPORT-SYSTEM; FLOATING PLASTIC DEBRIS; BALEARIC-ISLANDS; SATELLITE ALTIMETRY; DATA ASSIMILATION; ALGERIAN BASIN; ARGO FLOATS; OPERATIONAL OCEANOGRAPHY; CARBONATE SYSTEM; DISSOLVED-OXYGEN</t>
  </si>
  <si>
    <t>[Tintore, Joaquin] CSIC UIB, SOCIB, Palma De Mallorca, Spain; [Tintore, Joaquin; Casas, Benjamin; Orfila, Alejandro; Pascual, Ananda; Ruiz, Simon; Sanchez-Roman, Antonio] CSIC UIB, IMEDEA, Palma De Mallorca, Spain; [Pinardi, Nadia; Trotta, Francesco; Zavatarelli, Marco] Univ Bologna, Dept Phys &amp; Astron, Bologna, Italy; [Alvarez-Fanjul, Enrique; Garcia Sotillo, Marcos; Lorente, Pablo; Perez Gomez, Begona; Perez Rubio, Susana] Puertos Estado, Madrid, Spain; [Aguiar, Eva; Alvarez-Berastegui, Diego; Charcos-Llorens, Miguel; Gabriel Fernandez, Juan; Hernandez-Lasheras, Jaime; Juza, Melanie; Mourre, Baptiste; Munoz-Mas, Cristian; Reyes, Emma; Rotllan, Paz; Ruiz, Inmaculada; Torner, Marc] SOCIB, Palma De Mallorca, Spain; [Bajo, Marco; Chiggiato, Jacopo; Ferrarin, Christian; Santoleri, Rosalia; Schroeder, Katrin; Umgiesser, Georg] CNR, Ist Sci Marine, Venice, Italy; [Balbin, Rosa; Deudero, Salud; Reglero, Patricia] IEO, COB, Mallorca, Spain; [Bozzano, Roberto; Nardelli, Bruno Buongiorno; Pensieri, Sara] Natl Res Council Italy, Rome, Italy; [Cardin, Vanessa; Cossarini, Gianpiero; Poulain, Pierre-Marie; Salon, Stefano; Teruzzi, Anna] Ist Nazl Oceanog &amp; Geofis Sperimentale, Trieste, Italy; [Clementi, Emanuela; Coppini, Giovanni; Drudi, Massimiliano; Federico, Ivan; Grandi, Alessandro; Lecci, Rita; Liubartseva, Svitlana; Mannarini, Gianandrea; Pistoia, Jenny; Verri, Giorgia] CMCC Fdn Ctr Euromediterraneo Cambiamenti Climati, OPA Div, Lecce, Italy; [Coppola, Laurent; D'Ortenzio, Fabrizio; Escudier, Romain] Sorbonne Univ, CNRS, Lab Oceanog Villefranche, Villefranche Sur Mer, France; [Deidun, Alan; Drago, Aldo] Univ Malta, Dept Geosci, Msida, Malta; [El Serafy, Ghada; Meszaros, Lorinc] Stichting Deltares, Delft, Netherlands; [Farcy, Patrick; Garreau, Pierre; Petit de la Villeon, Loic; Pouliquen, Sylvie] IFREMER, Brest, France; [Fossi, Cristina] Univ Siena, Dipartimento Sci Fis Terra &amp; Ambiente, Siena, Italy; [Frangoulis, Constantin; Korres, Gerasimos; Perivoliotis, Leonidas; Petihakis, George] Hellenic Ctr Marine Res, Inst Oceanog, Athens, Greece; [Galgani, Francois] IFREMER, Bastia, France; [Gana, Slim] Ariana Ctr, OR Consulting, Ariana, Tunisia; [Garcia Lafuente, Jesus; Sammartino, Simone] Univ Malaga, Dept Fis Aplicada 2, Malaga, Spain; [Gertman, Isaac; Herut, Barak] Israel Oceanog &amp; Limnol Res, Natl Inst Oceanog, Haifa, Israel; [Gomez-Pujol, Lluis] Univ Illes Balears, Dept Biol, Palma De Mallorca, Spain; [Hayes, Daniel] Univ Cyprus, Oceanog Ctr, Nicosia, Cyprus; [Heslop, Emma] UNESCO, Intergovt Oceanog Commiss, Paris, France; [Hilmi, Karim] Inst Natl Rech Halieut, Casablanca, Morocco; [Kallos, George; Sofianos, Sarantis] Univ Athens, Athens, Greece; [Lazzari, Paolo; Mauri, Elena] OGS, Trieste, Italy; [Louanchi, Ferial] ENSSMAL, Algiers, Algeria; [Malacic, Vlado] Marine Biol Stn Piran, Natl Inst Biol, Piran, Slovenia; [March, David] Univ Exeter, Ctr Ecol &amp; Conservat, Exeter, Devon, England; [Marullo, Salvatore; Sannino, Gianmaria] ENEA, Rome, Italy; [Mortier, Laurent; Testor, Pierre] LOCEAN, Paris, France; [Novellino, Antonio] ETT, Genoa, Italy; [Obaton, Dominique; von Schuckmann, Karina] Mercator Ocean Int, Toulouse, France; [Prieto, Laura] CSIC, ICMAN, Cadiz, Spain; [Raimbault, Patrick] Aix Marseille Univ, Mediterranean Inst Oceanog, Marseille, France; [Ruiz, Javier] CSIC, ICMAN, Spanish Natl Res Council, Madrid, Spain; [Francisco Ruiz-Orejon, Luis; Sarda, Rafael] CSIC, CEAB, Blanes, Spain; [Salihoglu, Baris] Inst Marine Sci, Erdemli, Turkey; [Sanchez Arcilla, Agustin] LIM UPC, Barcelona, Spain; [Simoncelli, Simona] Ist Nazl Geofis &amp; Vulcanol, Sez Bologna, Bologna, Italy; [Sylaios, Georgios] Democritus Univ Thrace, Dept Environm Engn, Xanthi, Greece; [Tanhua, Toste] GEOMAR, Kiel, Germany; [Tezcan, Devrim; Yucel, Mustafa] METU, Inst Marine Sci, Ankara, Turkey; [Vilibic, Ivica] Insitute Oceanog &amp; Fisheries, Phys Oceanog Lab, Split, Croatia; [Zodiatis, George] CYCOFOS, Nicosia, Cyprus</t>
  </si>
  <si>
    <t>Universitat de les Illes Balears; University of Barcelona; Consejo Superior de Investigaciones Cientificas (CSIC); ATTITUS Educacao; Universitat de les Illes Balears; University of Barcelona; University of Bologna; Puertos del Estado; Consiglio Nazionale delle Ricerche (CNR); Istituto di Scienze Marine (ISMAR-CNR); Consiglio Nazionale delle Ricerche (CNR); Istituto Nazionale di Oceanografia e di Geofisica Sperimentale; Centro Euro-Mediterraneo sui Cambiamenti Climatici (CMCC); Centre National de la Recherche Scientifique (CNRS); UDICE-French Research Universities; Sorbonne Universite; University of Malta; Deltares; Ifremer; University of Siena; Hellenic Centre for Marine Research; Ifremer; Universidad de Malaga; Israel Oceanographic &amp; Limnological Research Institute; Universitat de les Illes Balears; University of Cyprus; National &amp; Kapodistrian University of Athens; Istituto Nazionale di Oceanografia e di Geofisica Sperimentale; Ecole Nationale Superieure des Sciences de la Mer et Amenagement du Littoral (ENSSMAL); National Institute of Biology - Slovenia; University of Exeter; Italian National Agency New Technical Energy &amp; Sustainable Economics Development; Museum National d'Histoire Naturelle (MNHN); UDICE-French Research Universities; Sorbonne Universite; Consejo Superior de Investigaciones Cientificas (CSIC); CSIC - Instituto de Ciencias Marinas de Andalucia (ICMAN); UDICE-French Research Universities; Aix-Marseille Universite; Consejo Superior de Investigaciones Cientificas (CSIC); CSIC - Instituto de Ciencias Marinas de Andalucia (ICMAN); Consejo Superior de Investigaciones Cientificas (CSIC); CSIC - Centre d'Estudis Avancats de Blanes (CEAB); Middle East Technical University; Istituto Nazionale Geofisica e Vulcanologia (INGV); Democritus University of Thrace; Helmholtz Association; GEOMAR Helmholtz Center for Ocean Research Kiel; Middle East Technical University</t>
  </si>
  <si>
    <t>Tintore, J (corresponding author), CSIC UIB, SOCIB, Palma De Mallorca, Spain.;Tintore, J (corresponding author), CSIC UIB, IMEDEA, Palma De Mallorca, Spain.</t>
  </si>
  <si>
    <t>jtintore@socib.es</t>
  </si>
  <si>
    <t>Sannino, Gianmaria/AAL-8402-2021; Mauri, Elena/AAL-7962-2020; Reglero, Patricia/L-9031-2014; Kallos, George/ABE-6033-2020; Mannarini, Gianandrea/CAA-9964-2022; Mannarini, Gianandrea/K-6933-2016; SIMONCELLI, Simona/AAC-5256-2021; Tezcan, Devrim/ABA-4453-2020; Vilibic, Ivica/AAE-5160-2019; Mourre, Baptiste/AAP-2421-2021; Nardelli, Bruno Buongiorno/AAY-4289-2020; Bozzano, Roberto/AAL-8735-2021; galgani, francois/A-1973-2011; Schroeder, Katrin/C-7490-2009; Teruzzi, Anna/IWD-5321-2023; Prieto, Laura/B-3986-2009; Umgiesser, Georg/ABF-2127-2020; Pensieri, Sara/AAL-1889-2021; Deudero, Salud/I-1883-2015; Chiggiato, Jacopo/AAW-5399-2020; Verri, Giorgia/AAB-5811-2022; Bajo, Marco/AAV-2103-2020; Ruiz, Simon/N-9164-2019; Clementi, Emanuela/K-7363-2017; Marullo, Salvatore/GLV-5804-2022; Trotta, Francesco/GQZ-1700-2022; Korres, Gerasimos/H-4133-2011; Petihakis, George/C-4534-2011; Tanhua, Toste/HLX-5402-2023; pistoia, jenny/AAB-4982-2022; Reyes Reyes, Emma/ABD-8488-2021; Pascual, Ananda/H-8214-2013; Sylaios, Georgios/AAM-6994-2020; von Schuckmann, Karina/AAZ-8897-2021; Yücel, Mustafa/F-7067-2010; Salon, Stefano/AAV-5682-2020; GARREAU, Pierre/Q-4016-2019; Coppola, Laurent/F-7880-2017; Ruiz Orejon Sanchez, Luis Francisco/X-8103-2019; Cossarini, Gianpiero/AAV-5489-2020; pinardi, nadia/M-2364-2015; Buongiorno Nardelli, Bruno/I-4810-2012; March, David/G-6489-2014; Balbín, Rosa/F-8210-2010; Salon, Stefano/AGI-3626-2022; Verri, Giorgia/AAC-3237-2020; Clementi, Emanuela/AAB-4952-2022</t>
  </si>
  <si>
    <t>Mauri, Elena/0000-0001-9602-0628; Mannarini, Gianandrea/0000-0001-9205-7765; Mannarini, Gianandrea/0000-0001-9205-7765; SIMONCELLI, Simona/0000-0003-1283-2798; Tezcan, Devrim/0000-0003-4137-9101; galgani, francois/0000-0001-8770-6054; Schroeder, Katrin/0000-0001-7991-9121; Prieto, Laura/0000-0003-4704-7757; Umgiesser, Georg/0000-0001-9697-275X; Deudero, Salud/0000-0001-5584-2801; Chiggiato, Jacopo/0000-0002-0998-6473; Bajo, Marco/0000-0002-5969-6386; Ruiz, Simon/0000-0002-9395-9370; Clementi, Emanuela/0000-0002-5752-1849; Petihakis, George/0000-0002-4290-3588; pistoia, jenny/0000-0001-9410-5425; Reyes Reyes, Emma/0000-0003-4350-739X; von Schuckmann, Karina/0000-0002-9922-8528; Yücel, Mustafa/0000-0002-7478-902X; Salon, Stefano/0000-0003-1233-8271; GARREAU, Pierre/0000-0001-7544-750X; Coppola, Laurent/0000-0003-0473-1129; Ruiz Orejon Sanchez, Luis Francisco/0000-0001-8529-2927; Cossarini, Gianpiero/0000-0001-7803-8568; pinardi, nadia/0000-0003-4765-0775; Buongiorno Nardelli, Bruno/0000-0002-3416-7189; March, David/0000-0002-6118-761X; Balbín, Rosa/0000-0001-5231-1300; Salon, Stefano/0000-0003-1233-8271; Verri, Giorgia/0000-0002-7561-618X; Clementi, Emanuela/0000-0002-5752-1849; HILMI, KARIM/0000-0002-1511-3791; Lazzari, Paolo/0000-0001-6819-4612; Pascual, Ananda/0000-0001-9476-9272; Cardin, Vanessa/0000-0002-4710-6844; Pouliquen, Sylvie/0000-0001-5709-7331; Fernandez Pineda, Juan Gabriel/0000-0002-8732-7887; Tintore, Joaquin/0000-0002-6311-0093; Herut, Barak/0000-0002-7093-8753; Marcos G, Sotillo/0009-0006-1244-7848; LECCI, Rita/0000-0003-2996-4295; Mourre, Baptiste/0000-0002-5056-0423; Alvarez-Berastegui, Diego/0000-0003-1304-7185; Meszaros, Lorinc/0000-0001-8452-6736; DRUDI, Massimiliano/0000-0002-9951-740X; Korres, Gerasimos/0000-0001-7036-4123; Fossi, Maria Cristina/0000-0003-0836-4020; TERUZZI, Anna/0000-0003-0275-2049</t>
  </si>
  <si>
    <t>SEP 13</t>
  </si>
  <si>
    <t>IX5VQ</t>
  </si>
  <si>
    <t>WOS:000485752100001</t>
  </si>
  <si>
    <t>Aerosols as Vectors for Contaminants: A Perspective Based on Outdoor Aerosol Data from Kuwait</t>
  </si>
  <si>
    <t>The Middle East is a hot spot of dust, and there are reports of as much as 1400 mu g m(-3) of dust in aerosols from Kuwait, which is among some of the highest dust loadings globally. A significant volume of literature has emerged on dust-air-quality-human-health, and the World Health Organization in its recent air quality guidelines has lowered the limit of annual PM2.5 exposure to 5 mu g m(-3) from the previous limit of 10 mu g m(-3). We present a mini-review based on a screening and search of the published data generated in Kuwait on contaminants associated with dust in different size fractions. We also include an unpublished study on organic contaminants in size-fractionated aerosols. The Sigma PAHs concentrations in all the six size fractions range between 570 and 3350 pg m(-3). The n-ary sumation Sigma BDE concentration ranges from &lt;- 2 to 1307 pg m(-3). The average Po-210 activity in aerosol size classes varies between 2289 and 2581 Bq kg(-1). The average Pb-210 concentration varies between 352 and 412 Bq kg(-1). The MP inventory in Kuwait's outdoor aerosol is between 5 and 35 MP in 815 +/- 5 m(3) of air. The bacterial load in outdoor aerosols is between 6.05 x 10(3) cells m(-3) and 1.24 x 10(8) cells m(-3). The fungal load ranges between 2.11 x 10(2) cells m(-3) and 2.66 x 10(6) cells m(-3). The data suggest that the inhalable fraction of &lt;2.5 mu m size contains high concentrations of Polycyclic Aromatic Hydrocarbons (PAHs), Polybrominated diphenyl ethers (PBDEs), Po-210, Pb-210, microplastics, and microbes. These enriched ultrafine aerosols pose a significant risk to human health. The review also highlights the scarcity of contaminant data in respirable and inhalable size fractions that are critical for a comprehensive inhalation risk assessment.</t>
  </si>
  <si>
    <t>10.3390/atmos14030470</t>
  </si>
  <si>
    <t>Uddin, S; Habibi, N; Fowler, SW; Behbehani, M; Gevao, B; Faizuddin, M; Gorgun, AU</t>
  </si>
  <si>
    <t>Uddin, Saif; Habibi, Nazima; Fowler, Scott W.; Behbehani, Montaha; Gevao, Bondi; Faizuddin, Mohammad; Gorgun, Aysun Ugur</t>
  </si>
  <si>
    <t>ATMOSPHERE</t>
  </si>
  <si>
    <t>size-fractionated; aerosol; PM2.5; PAHs; PBDEs; Po-210; microplastics</t>
  </si>
  <si>
    <t>POLYCYCLIC AROMATIC-HYDROCARBONS; POLYBROMINATED DIPHENYL ETHERS; PERSISTENT ORGANIC POLLUTANTS; PARTICLE-SIZE DISTRIBUTIONS; AIRBORNE MICROPLASTICS; MARINE-ENVIRONMENT; DUST STORMS; POLYCHLORINATED-BIPHENYLS; ATMOSPHERIC DEPOSITION; FRESH-WATER</t>
  </si>
  <si>
    <t>[Uddin, Saif; Habibi, Nazima; Behbehani, Montaha] Kuwait Inst Sci Res, Environm &amp; Life Sci Res Ctr, Safat 13109, Kuwait; [Fowler, Scott W.] SUNY Stony Brook, Sch Marine &amp; Atmospher Sci, Stony Brook, NY 11794 USA; [Gevao, Bondi] Environm Protect Agcy, Freetown, Sierra Leone; [Faizuddin, Mohammad] Gulf Geoinformat Solut, POB 49590, Sharjah, U Arab Emirates; [Gorgun, Aysun Ugur] Ege Univ, Inst Nucl Sci, TR-35040 Izmir, Turkiye</t>
  </si>
  <si>
    <t>Kuwait Institute for Scientific Research; State University of New York (SUNY) System; State University of New York (SUNY) Stony Brook; Ege University</t>
  </si>
  <si>
    <t>Uddin, S (corresponding author), Kuwait Inst Sci Res, Environm &amp; Life Sci Res Ctr, Safat 13109, Kuwait.</t>
  </si>
  <si>
    <t>sdin@kisr.edu.kw</t>
  </si>
  <si>
    <t>Uddin, Saif/J-4772-2013</t>
  </si>
  <si>
    <t>Uddin, Saif/0000-0003-4698-2225; Habibi, Nazima/0000-0003-0752-4774</t>
  </si>
  <si>
    <t>2073-4433</t>
  </si>
  <si>
    <t>ATMOSPHERE-BASEL</t>
  </si>
  <si>
    <t>Atmosphere</t>
  </si>
  <si>
    <t>Environmental Sciences; Meteorology &amp; Atmospheric Sciences</t>
  </si>
  <si>
    <t>Environmental Sciences &amp; Ecology; Meteorology &amp; Atmospheric Sciences</t>
  </si>
  <si>
    <t>A2YQ7</t>
  </si>
  <si>
    <t>WOS:000953843500001</t>
  </si>
  <si>
    <t>CHARACTERIZATION OF AN ESTERASE ACTIVITY IN LYCOPERDON PYRIFORME, AN EDIBLE MUSHROOM</t>
  </si>
  <si>
    <t>An esterase from Lycoperdon pyriforme was characterized. The enzyme had a maximum activity at pH 8.0 and 40C with p-nitrophenyl acetate as a substrate. Km and Vmax values were calculated as 2.13mM and 0.65 U/mg protein, respectively. The enzyme activity was conserved more than 90% over a broad range of pH (3.09.0) at 4C after 24h of incubation. The activity increased 37 +/- 3.6% after 120min of incubation at 40C. Li+, Mg2+ and Ca2+ activated the enzyme 12 +/- 1.8, 16 +/- 2.5 and 15 +/- 2.5%, respectively. The esterase was inhibited in different ratios by some detergents such as Triton X-114, Triton X-100, Tween 20 (Sigma Chemical Co., St. Louis, MO) and sodium dodecylsulfate. It retained most of its activity in the presence of methanol and dimethylsulphoxide at the final concentration of 10% (v/v). pH and moderate thermal stability of L.pyriforme esterase and its activity in some organic solvents could make it useful for some industrial purposes such as detergent and paper industry. PRACTICAL APPLICATIONS Esterases play a major role in the degradation of natural materials and industrial pollutants, viz., cereal wastes, plastics and other toxic chemicals. They are also useful in the synthesis of optically pure compounds, perfumes and antioxidants. Because of these biocatalytic applications, it may be interesting to study novel esterases from different organisms. Therefore, it is important to study esterase activity of Lycoperdon pyriforme. In this way, a new esterase having potential applications can be found.</t>
  </si>
  <si>
    <t>10.1111/j.1745-4514.2011.00621.x</t>
  </si>
  <si>
    <t>Akatin, MY; Colak, A; Ertunga, NS</t>
  </si>
  <si>
    <t>Akatin, Melike Yildirim; Colak, Ahmet; Ertunga, Nagihan Saglam</t>
  </si>
  <si>
    <t>JOURNAL OF FOOD BIOCHEMISTRY</t>
  </si>
  <si>
    <t>THERMOSTABLE ESTERASE; PARTIAL-PURIFICATION; BACILLUS-SUBTILIS; ESTEROLYTIC ACTIVITY; THERMOTOGA-MARITIMA; POLYPHENOL OXIDASE; LIPASES; CARBOXYLESTERASE; ENZYME</t>
  </si>
  <si>
    <t>[Akatin, Melike Yildirim; Colak, Ahmet; Ertunga, Nagihan Saglam] Karadeniz Tech Univ, Dept Chem, Fac Sci, TR-61080 Trabzon, Turkey</t>
  </si>
  <si>
    <t>Akatin, MY (corresponding author), Karadeniz Tech Univ, Dept Chem, Fac Sci, TR-61080 Trabzon, Turkey.</t>
  </si>
  <si>
    <t>melikey80@yahoo.com</t>
  </si>
  <si>
    <t>saglam ertunga, nagihan/AAD-9063-2020; AKATIN, Melike YILDIRIM/AAG-5630-2019; Colak, Ahmet/AAK-4095-2021</t>
  </si>
  <si>
    <t xml:space="preserve">saglam ertunga, nagihan/0000-0002-2104-2192; AKATIN, Melike YILDIRIM/0000-0003-4195-4647; </t>
  </si>
  <si>
    <t>KTU-BAP</t>
  </si>
  <si>
    <t>KTU-BAP(Karadeniz Technical University)</t>
  </si>
  <si>
    <t>Many thanks to KTU-BAP for its financial support.</t>
  </si>
  <si>
    <t>0145-8884</t>
  </si>
  <si>
    <t>J FOOD BIOCHEM</t>
  </si>
  <si>
    <t>J. Food Biochem.</t>
  </si>
  <si>
    <t>118HX</t>
  </si>
  <si>
    <t>WOS:000317017500007</t>
  </si>
  <si>
    <t>Selective separation of virgin and post-consumer polymers (PET and PVC) by flotation method</t>
  </si>
  <si>
    <t>More and more polymer wastes are generated by industry and householders today. Recycling is an important process to reduce the amount of waste resulting from human activities. Currently, recycling technologies use relatively homogeneous polymers because hand-sorting waste is costly. Many promising technologies are being investigated for separating mixed thermoplastics, but they are still uneconomical and unreliable. At present, most waste polymers cause serious environmental problems. Burning polymers for recycling is not practiced since poisonous gases are released during the burning process. Particularly, polyvinyl chloride (PVC) materials among waste polymers generate hazardous HCl gas, dioxins containing Cl, etc., which lead to air pollution and shorten the life of the incinerator. In addition, they make other polymers difficult to recycle. Both polyethylene terephthalate (PET) and PVC have densities of 1.30-1.35 g/cm(3) and cannot be separated using conventional gravity separation techniques. For this reason, polymer recycling needs new techniques. Among these techniques, froth flotation, which is also used in mineral processing, can be useful because of its low cost and simplicity. The main objective of this research is to recycle PET and PVC selectively from post-consumer polymer wastes and virgin polymers by using froth flotation. According to the results, all PVC particles were floated with 98.8% efficiency in virgin polymer separation while PET particles were obtained with 99.7% purity and 57.0% efficiency in post-consumer polymer separation. (c) 2008 Elsevier Ltd. All rights reserved.</t>
  </si>
  <si>
    <t>10.1016/j.wasman.2008.12.018</t>
  </si>
  <si>
    <t>Burat, F; Guney, A; Kangal, MO</t>
  </si>
  <si>
    <t>Burat, Firat; Guney, Ali; Kangal, M. Olgac</t>
  </si>
  <si>
    <t>FROTH FLOTATION; RECYCLING INDUSTRY; PVC/PET MIXTURES; MIXED PLASTICS</t>
  </si>
  <si>
    <t>[Burat, Firat; Guney, Ali; Kangal, M. Olgac] Istanbul Tech Univ, Fac Mines, Mineral Proc Engn Dept, TR-34469 Istanbul, Turkey</t>
  </si>
  <si>
    <t>Kangal, MO (corresponding author), Istanbul Tech Univ, Fac Mines, Mineral Proc Engn Dept, TR-34469 Istanbul, Turkey.</t>
  </si>
  <si>
    <t>Güney, Ali/ABB-1349-2020; Burat, Fırat/ABB-1009-2020; Kangal, Murat Olgaç/D-5173-2014</t>
  </si>
  <si>
    <t>Güney, Ali/0000-0003-0042-130X; Burat, Fırat/0000-0001-7051-0063; Kangal, Murat Olgaç/0000-0003-4993-064X</t>
  </si>
  <si>
    <t>438NM</t>
  </si>
  <si>
    <t>WOS:000265562200004</t>
  </si>
  <si>
    <t>A Comprehensive Benchmarking of the Available Spectral Indices Based on Sentinel-2 for Large-Scale Mapping of Plastic-Covered Greenhouses</t>
  </si>
  <si>
    <t>Plastic-covered greenhouses (PCG) have been extensively used in agricultural practices around the world. Remote sensing based on spectral indices is a key asset to monitor the spatial distribution of these structures on a large scale. The primary objective of this research was to conduct a comprehensive benchmarking of the available spectral indices based on Sentinel-2 data for large-scale PCG mapping. For that, eight PCG indices were thoroughly analyzed by systematically investigating their optimal thresholds in five study sites located in Almeria (Spain), Antalya (Turkey), Agadir (Morocco), Weifang (China), and Nantong (China), including also different growing seasons. The experimental results demonstrated that the Plastic GreenHouse Index (PGHI) achieved the best PCG mapping accuracy in almost all study sites and growing seasons tested. From the visual analysis carried out on the PGHI mapping results, it was made out that the main misclassification between PCG and background classes took place in water bodies and industrial building land covers, particularly in the Weifang and Nantong study areas. Based on this fact, the original version of PGHI was modified by adding two processes aimed at masking water bodies and industrial buildings. This new composite index, called Improved PGHI (IPGHI), attained better accuracy results in all study sites, especially in Chinese PCG areas. The average F1 score calculated for all the study cases improved from 86.05% using PGHI to 90.51% applying IPGHI. The new approach provided a significant and robust improvement in PCG large-scale mapping for several types of PCG sites, even considering different growing seasons.</t>
  </si>
  <si>
    <t>10.1109/JSTARS.2023.3294830</t>
  </si>
  <si>
    <t>http://dx.doi.org/10.1109/JSTARS.2023.3294830</t>
  </si>
  <si>
    <t>Senel, G; Aguilar, MA; Aguilar, FJ; Nemmaoui, A; Goksel, C</t>
  </si>
  <si>
    <t>Senel, Gizem; Aguilar, Manuel A. A.; Aguilar, Fernando J. J.; Nemmaoui, Abderrahim; Goksel, Cigdem</t>
  </si>
  <si>
    <t>IEEE JOURNAL OF SELECTED TOPICS IN APPLIED EARTH OBSERVATIONS AND REMOTE SENSING</t>
  </si>
  <si>
    <t>Greenhouses; Indexes; Plastics; Remote sensing; Crops; Satellites; Buildings; Greenhouse mapping; large-scale mapping; plastic-covered greenhouses (PCG); Sentinel-2 (S2); spectral indices</t>
  </si>
  <si>
    <t>OBJECT-BASED CLASSIFICATION; PER-PIXEL CLASSIFICATION; IMAGES; ALMERIA; NDWI; MSI</t>
  </si>
  <si>
    <t>[Senel, Gizem; Aguilar, Manuel A. A.; Aguilar, Fernando J. J.; Nemmaoui, Abderrahim] Univ Almeria, Dept Engn, Almeria 04120, Spain; [Senel, Gizem; Aguilar, Manuel A. A.; Aguilar, Fernando J. J.; Nemmaoui, Abderrahim] Univ Almeria, Res Ctr CIAIMBITAL, Almeria 04120, Spain; [Goksel, Cigdem] Istanbul Tech Univ, Civil Engn Fac, Dept Geomat Engn, TR-34469 Istanbul, Turkiye</t>
  </si>
  <si>
    <t>Universidad de Almeria; Universidad de Almeria; Istanbul Technical University</t>
  </si>
  <si>
    <t>Aguilar, MA (corresponding author), Univ Almeria, Dept Engn, Almeria 04120, Spain.;Aguilar, MA (corresponding author), Univ Almeria, Res Ctr CIAIMBITAL, Almeria 04120, Spain.</t>
  </si>
  <si>
    <t>gs006@inlumine.ual.es; maguilar@ual.es; faguilar@ual.es; an932@ual.es; goksel@itu.edu.tr</t>
  </si>
  <si>
    <t>Senel, Gizem/W-3226-2019</t>
  </si>
  <si>
    <t>Senel, Gizem/0000-0001-6697-9213</t>
  </si>
  <si>
    <t>Spanish Ministry for Science, Innovation and Universities (Spain); European Union (European Regional Development Fund) funds [RTI2018-095403-B-I00]</t>
  </si>
  <si>
    <t>Spanish Ministry for Science, Innovation and Universities (Spain); European Union (European Regional Development Fund) funds(European Union (EU)Marie Curie Actions)</t>
  </si>
  <si>
    <t>This work was supported by the Spanish Ministry for Science, Innovation and Universities (Spain) and the European Union (European Regional Development Fund) funds under Grant RTI2018-095403-B-I00.</t>
  </si>
  <si>
    <t>1939-1404</t>
  </si>
  <si>
    <t>2151-1535</t>
  </si>
  <si>
    <t>IEEE J-STARS</t>
  </si>
  <si>
    <t>IEEE J. Sel. Top. Appl. Earth Observ. Remote Sens.</t>
  </si>
  <si>
    <t>Engineering, Electrical &amp; Electronic; Geography, Physical; Remote Sensing; Imaging Science &amp; Photographic Technology</t>
  </si>
  <si>
    <t>Engineering; Physical Geography; Remote Sensing; Imaging Science &amp; Photographic Technology</t>
  </si>
  <si>
    <t>N6BF3</t>
  </si>
  <si>
    <t>WOS:001037835600006</t>
  </si>
  <si>
    <t>View Full Record in Web of Science</t>
  </si>
  <si>
    <t>Characteristics and seasonal variation of microplastics in the wastewater treatment plant: The case of Bursa deep sea discharge</t>
  </si>
  <si>
    <t>Microplastics (MPs) are an emerging pollutant that can be detected in all ecosystems, especially aquatic ecosystems. Wastewater treatment plants (WWTPs) are important point sources of MP release into the sea. In this study, the characteristics of MPs in wastewater and sludge samples taken from different units of WWTP in BursaGemlik district for 12 months were investigated. Wastewater and sludge samples collected from 7 different points were classified as size, shape, color, and counted. The amount of MP in the influent and effluent of the WWTP, respectively; 107.1 &amp; PLUSMN; 40.2 MP/L and 4.1 &amp; PLUSMN; 1.1 MP/L. Although the MP removal efficiency of the WWTP is 96.17 %, approximately 74,825,000 MP is discharged into the Marmara Sea every day. The amount of MP in the sludge is 14.3 &amp; PLUSMN; 7.1 MP/g. The amount of MP accumulated in 22tons of waste sludge formed daily in WWTP was calculated as 314,600,000 MP, and the annual accumulated amount was calculated as approximately 1.15 x 1011 MP. The MPs in the WWTP were mainly 1-0.5 mm in size. Fibers were the dominant MP shape in both the wastewater and sludge samples. Black and transparent were the dominant MP colors. Seven different polymer types of MPs were detected, which were mainly types of polyethylene, polypropylene, and polyethylene terephthalate. Despite the high removal efficiency in the investigated WWTP, it has been shown that it acts as an important source of MPs to the sea ecosystem due to the high discharge rates.</t>
  </si>
  <si>
    <t>10.1016/j.marpolbul.2023.115281</t>
  </si>
  <si>
    <t>http://dx.doi.org/10.1016/j.marpolbul.2023.115281</t>
  </si>
  <si>
    <t>Can, T; Ustun, GE; Kaya, Y</t>
  </si>
  <si>
    <t>Can, Tugba; Ustuen, Gokhan Ekrem; Kaya, Yunus</t>
  </si>
  <si>
    <t>Microplastics; Wastewater treatment plant; Sludge; Characteristics; Seasonal variation</t>
  </si>
  <si>
    <t>REMOVAL; POLLUTION; ENVIRONMENT; SEDIMENTS; SLUDGE; FIBERS</t>
  </si>
  <si>
    <t>[Ustuen, Gokhan Ekrem; Kaya, Yunus] Bursa Uludag Univ, Fac Engn, Dept Environm Engn, TR-16059 Bursa, Turkiye; [Kaya, Yunus] Bursa Tech Univ, Fac Engn &amp; Nat Sci, Dept Chem, TR-16190 Bursa, Turkiye</t>
  </si>
  <si>
    <t>Uludag University; Bursa Technical University</t>
  </si>
  <si>
    <t>Ustun, GE (corresponding author), Bursa Uludag Univ, Fac Engn, Dept Environm Engn, TR-16059 Bursa, Turkiye.</t>
  </si>
  <si>
    <t>CAN, Tugba/0000-0003-4717-801X</t>
  </si>
  <si>
    <t>Bursa Uludag~University [BAP FGA-2022-1281]</t>
  </si>
  <si>
    <t>Bursa Uludag~University</t>
  </si>
  <si>
    <t>We acknowledge financial support from the Research Fund of The Bursa Uludag &amp; nbsp;University (No: BAP FGA-2022-1281). We would like to thank Bursa Water and Sewerage Administration (BUSKI) for their help in collecting the wastewater and sludge samples during the experimental runs and Dr. Ahmet Ayguen, for their help in ATR-FTIR analyses.</t>
  </si>
  <si>
    <t>O7QP2</t>
  </si>
  <si>
    <t>WOS:001045715300001</t>
  </si>
  <si>
    <t>Deep learning-based classification of microalgae using light and scanning electron microscopy images</t>
  </si>
  <si>
    <t>Microalgae possess diverse applications, such as food production, animal feed, cosmetics, plastics manufacturing, and renewable energy sources. However, uncontrolled proliferation, known as algal bloom, can detrimentally impact ecosystems. Therefore, the accurate detection, monitoring, identification, and tracking of algae are imperative, albeit demanding considerable time, effort, and expertise, as well as financial resources. Deep learning, employing image pattern recognition, emerges as a practical and promising approach for rapid and precise microalgae cell counting and identification. In this study, we processed light microscopy (LM) and scanning electron microscopy (SEM) images of two Cyanobacteria species and three Chlorophyta species to classify them, utilizing state-of-the-art Convolutional Neural Network (CNN) models, including VGG16, Mobi-leNet V2, Xception, NasnetMobile, and EfficientNetV2. In contrast to prior deep learning based identification studies limited to LM images, we, for the first time, incorporated SEM images of microalgae in our analysis. Both LM and SEM microalgae images achieved an exceptional classification accuracy of 99%, representing the highest accuracy attained by the VGG16 and EfficientNetV2 models to date. While NasnetMobile exhibited the lowest accuracy of 87% with SEM images, the remaining models achieved classification accuracies surpassing 93%. Notably, the VGG16 and EfficientNetV2 models achieved the highest accuracy of 99%. Intriguingly, our findings indicate that algal identification using optical microscopes, which are more cost-effective, outperformed electron microscopy techniques.</t>
  </si>
  <si>
    <t>10.1016/j.micron.2023.103506</t>
  </si>
  <si>
    <t>http://dx.doi.org/10.1016/j.micron.2023.103506</t>
  </si>
  <si>
    <t>Sonmez, ME; Altinsoy, B; Ozturk, BY; Gumus, NE; Eczacioglu, N</t>
  </si>
  <si>
    <t>Sonmez, Mesut Ersin; Altinsoy, Betul; Ozturk, Betul Yilmaz; Gumus, Numan Emre; Eczacioglu, Numan</t>
  </si>
  <si>
    <t>MICRON</t>
  </si>
  <si>
    <t>CNN; Microalgae; Species Classification; VGG16</t>
  </si>
  <si>
    <t>[Sonmez, Mesut Ersin; Altinsoy, Betul; Eczacioglu, Numan] Karamanoglu Mehmetbey Univ, Fac Engn, Dept Bioengn, Karaman, Turkiye; [Ozturk, Betul Yilmaz] Osmangazi Univ, Cent Res Lab Applicat &amp; Res Ctr, Eskisehir, Turkiye; [Gumus, Numan Emre; Eczacioglu, Numan] Karamanoglu Mehmetbey Univ, Sci &amp; Technol Res &amp; Applicat Ctr, Karaman, Turkiye</t>
  </si>
  <si>
    <t>Karamanoglu Mehmetbey University; Eskisehir Osmangazi University; Karamanoglu Mehmetbey University</t>
  </si>
  <si>
    <t>Eczacioglu, N (corresponding author), Karamanoglu Mehmetbey Univ, Fac Engn, Dept Bioengn, Karaman, Turkiye.;Eczacioglu, N (corresponding author), Karamanoglu Mehmetbey Univ, Sci &amp; Technol Res &amp; Applicat Ctr, Karaman, Turkiye.</t>
  </si>
  <si>
    <t>numaneczacioglu@kmu.edu.tr</t>
  </si>
  <si>
    <t>SONMEZ, Mesut Ersin/AAZ-1944-2021</t>
  </si>
  <si>
    <t>SONMEZ, Mesut Ersin/0000-0002-0966-9216</t>
  </si>
  <si>
    <t>0968-4328</t>
  </si>
  <si>
    <t>1878-4291</t>
  </si>
  <si>
    <t>Micron</t>
  </si>
  <si>
    <t>Microscopy</t>
  </si>
  <si>
    <t>N4BC7</t>
  </si>
  <si>
    <t>WOS:001036475100001</t>
  </si>
  <si>
    <t>Does hydrogen-rich water mitigate MP toxicity in rainbow trout (Oncorhyncus mykiss)? Monitoring with hematology, DNA damage, and apoptosis via ROS/GSH/MDA pathway</t>
  </si>
  <si>
    <t>Although the number of studies documenting the presence of Microplastics (MP) in fish is increasing, research studies focused on its detoxification are very limited. In this study, rainbow trout (Oncorhyncus mykiss) were randomly divided into two groups after being fed with MPs (15% polypropylene [PP] +15% polyethylene [PE]) for 2 months. MP excretion without any application (PP+PE) in group I fish, and excretion of MPs with hydrogen-rich water (HRW) application (PP+PE+HRW) in group 2 were investigated under semi-static conditions for 21 days. This effect was also compared by using positive and negative control groups (Control [no treatment, free PP, PE or/and HRW] and only HRW group). In this direction, the following were determined: PP+PE chronic toxicity in aquatic organisms, the toxicity mechanism and the effect of HRW as a possible treatment method in blood tissue; with hematological indices ([RBC count [RBC], leukocyte count [WBC], hemoglobin value [Hb], hematocrit ratio [Hct], platelet count [ PLT], hemoglobin count per erythrocyte [MCHC], mean hemoglobin amount per erythrocyte [MCH] and mean erythrocyte volume [MCV]) in other tissues (liver, gill and brain tissue) oxidative stress response (catalase [CAT]), glutathione peroxidase (GPx), glutathione reductase (GR), superoxide dismutase (SOD), glutathione (GSH), reactive oxygen products (ROS), malondialdehyde ([MDA] levels), DNA damage (8-OHdG: 8-Hydroxy-2-Deoxyguanosine), and the apoptosis (caspase 3) levels were investigated. In addition, acetylcholinesterase enzyme (AChE) activity, which is important in neurotoxicity pathways in the brain, was determined. The presence of plastics (PP/PE) in target tissues (muscle, liver, gill and gastrointestinal tract) was also obtained. The results showed that PP+PE caused toxicity in all three tissues. MPs showed an inhibiting effect on antioxidant enzyme activities and an inductive effect on MDA, ROS, 8-OHdG, and caspase 3 levels. HRW showed a mitigating effect on MP-mediated toxicity in O. mykiss brain, blood, gill, and liver by controlling the ROS/GSH/MDA pathway. HRW can be suggested as a costeffective and eco-friendly curative for the protection of fish from the oxidative damages produced by the ingestion of microplastics.</t>
  </si>
  <si>
    <t>10.26881/oahs-2023.2.05</t>
  </si>
  <si>
    <t>http://dx.doi.org/10.26881/oahs-2023.2.05</t>
  </si>
  <si>
    <t>Atamanalp, M; Kirici, M; Kokturk, M; Kirici, M; Alwazeer, D; Kocaman, EM; Ucar, A; Parlak, V; Ozcan, S; Alak, G</t>
  </si>
  <si>
    <t>Atamanalp, Muhammed; Kirici, Muammer; Kokturk, Mine; Kirici, Mahinur; Alwazeer, Duried; Kocaman, Esat Mahmut; Ucar, Arzu; Parlak, Veysel; Ozcan, Sinan; Alak, Gonca</t>
  </si>
  <si>
    <t>OCEANOLOGICAL AND HYDROBIOLOGICAL STUDIES</t>
  </si>
  <si>
    <t>Oxy-hydrogen gas; hydrogen-rich water; molecular hydrogen; MPs/NPs; blood indices; rainbow trout; antioxidant status; fish</t>
  </si>
  <si>
    <t>INDUCED OXIDATIVE STRESS; MOLECULAR-HYDROGEN; MICROPLASTICS; ANTIOXIDANT; INJURY</t>
  </si>
  <si>
    <t>[Atamanalp, Muhammed; Kocaman, Esat Mahmut; Ucar, Arzu; Ozcan, Sinan] Ataturk Univ, Fac Fisheries, Dept Aquaculture, TR-25030 Erzurum, Turkiye; [Kirici, Muammer] Bingol Univ, Food Agr &amp; Livestock Vocat Sch, Dept Vet Hlth, BR-12000 Bingol, Turkiye; [Kokturk, Mine] Igdir Univ, Fac Appl Sci, Dept Organ Agr Management, TR-76000 Igdir, Turkiye; [Kirici, Mahinur] Bingol Univ, Fac Arts &amp; Sci, Dept Chem, TR-12000 Bingol, Turkiye; [Alwazeer, Duried] Igdir Univ, Res Ctr Redox Applicat Foods RCRAF, TR-76000 Igdir, Turkiye; [Alwazeer, Duried] Igdir Univ, Innovat Food Technol Dev Applicat &amp; Res Ctr, Igdir, Turkiye; [Parlak, Veysel] Ataturk Univ, Fac Fisheries, Dept Basic Sci, TR-25240 Erzurum, Turkiye; [Alak, Gonca] Ataturk Univ, Fac Fisheries, Dept Seafood Proc Technol, Erzurum, Turkiye</t>
  </si>
  <si>
    <t>Ataturk University; Bingol University; Igdir University; Bingol University; Igdir University; Igdir University; Ataturk University; Ataturk University</t>
  </si>
  <si>
    <t>Alak, G (corresponding author), Ataturk Univ, Fac Fisheries, Dept Seafood Proc Technol, Erzurum, Turkiye.</t>
  </si>
  <si>
    <t>Alwazeer, Duried/G-2589-2015</t>
  </si>
  <si>
    <t>Alwazeer, Duried/0000-0002-2291-1628</t>
  </si>
  <si>
    <t>1730-413X</t>
  </si>
  <si>
    <t>1897-3191</t>
  </si>
  <si>
    <t>OCEANOL HYDROBIOL ST</t>
  </si>
  <si>
    <t>Oceanol. Hydrobiol. Stud.</t>
  </si>
  <si>
    <t>L2IC1</t>
  </si>
  <si>
    <t>WOS:001021535400005</t>
  </si>
  <si>
    <t>Effect of lithological properties of beach sediments on plastic pollution in Bodrum Peninsula (SW Turkiye)</t>
  </si>
  <si>
    <t>The effects grain size on transport and retention of plastics in sediments are controversial issue. Four beaches were selected on the Bodrum Peninsula (SW Turkiye) for this study. Twenty-four samples with poorly to well sorted, sandy gravel, gravel, or gravelly sand were collected from the top five cm of the sampling quadrant's four corners and center of 1 m2 area, from shoreline and backshore. The highest plastic content (38 mesoplastics/600 g - 455 microplastics (MPs)/1200 g) was determined on the Bodrum Coast having the highest population. Polyethylene (PE), polypropylene (PP), polyvinyl chloride (PVC), polystyrene (PS), polyethylene terephthalate (PET) and polyurethane (PU) were predominantly detected with Fourier Transform Infrared Spectroscopy (FTIR) analysis as MPs as a fragment and fiber. This study indicates the negative correlation between grain size and the number of MPs in coastal sediments. Anthropogenic activities are evaluated as a possible primary source of plastic pollution in the study area.</t>
  </si>
  <si>
    <t>10.1016/j.marpolbul.2023.114895</t>
  </si>
  <si>
    <t>http://dx.doi.org/10.1016/j.marpolbul.2023.114895</t>
  </si>
  <si>
    <t>Masud, A; Gul, M; Kucukuysal, C; Bulus, E; Sahin, YM</t>
  </si>
  <si>
    <t>Masud, Ahmed; Gul, Murat; Kucukuysal, Ceren; Bulus, Erdi; Sahin, Yesim Muge</t>
  </si>
  <si>
    <t>Mesoplastic; Microplastic; Beach sediment; Plastic contamination</t>
  </si>
  <si>
    <t>MEDITERRANEAN SEA; LEVANTINE COAST; ORGANIC-MATTER; MICROPLASTICS; SURFACE; IDENTIFICATION; POLYSTYRENE; EXTRACTION; SEPARATION; ABUNDANCE</t>
  </si>
  <si>
    <t>[Masud, Ahmed; Gul, Murat; Kucukuysal, Ceren] Mugla Sitki Kocman Univ, Dept Geol Engn, TR-48100 Mugla, Turkiye; [Gul, Murat] Mugla Sitki Kocman Univ, Dept Civil Engn, TR-48100 Mugla, Turkiye; [Bulus, Erdi; Sahin, Yesim Muge] Istanbul Arel Univ, ArelPOTKAM Polymer Technol &amp; Composite Applicat &amp;, TR-34537 Istanbul, Turkiye; [Bulus, Erdi] Istanbul Arel Univ, Vocat Sch, Dept Transportat Serv Civil Aviat Cabin Serv Progr, TR-34295 Istanbul, Turkiye; [Sahin, Yesim Muge] Istanbul Arel Univ, Fac Engn &amp; Architecture, Dept Biomed Engn, TR-34537 Istanbul, Turkiye</t>
  </si>
  <si>
    <t>Mugla Sitki Kocman University; Mugla Sitki Kocman University; Istanbul Arel University; Istanbul Arel University; Istanbul Arel University</t>
  </si>
  <si>
    <t>Gul, M (corresponding author), Mugla Sitki Kocman Univ, Dept Geol Engn, TR-48100 Mugla, Turkiye.</t>
  </si>
  <si>
    <t>muratgul@mu.edu.tr; cerenkucukuysal@mu.edu.tr; erdibulus@arel.edu.tr; ymugesahin@arel.edu.tr</t>
  </si>
  <si>
    <t>Gül, Murat/Y-9479-2018; Küçükuysal, Ceren/HJA-8285-2022</t>
  </si>
  <si>
    <t>Küçükuysal, Ceren/0000-0002-4108-3522</t>
  </si>
  <si>
    <t>M4AL8</t>
  </si>
  <si>
    <t>WOS:001029633800001</t>
  </si>
  <si>
    <t>http://dx.doi.org/10.3390/su15086811</t>
  </si>
  <si>
    <t>BOCA, Gratiela Dana/HZL-1079-2023; SARACLI, SINAN/L-5282-2013</t>
  </si>
  <si>
    <t>BOCA, Gratiela Dana/0000-0003-3684-2384; SARACLI, SINAN/0000-0003-4662-8031</t>
  </si>
  <si>
    <t>Evaluation of levels and sources of microplastics and phthalic acid esters and their relationships in the atmosphere of highly industrialized and urbanized Gebze, Turkiye</t>
  </si>
  <si>
    <t>The presence of microplastics (MPs) in the atmosphere and their relationship with other pollutants have been gaining attention due to both their ubiquity and threatening human health. As well phthalic acid esters (PAEs) regarding as plasticizers for being added in plastic materials are key role for plastic pollution. In this study, the concentrations and sources of airborne MPs together with major PAEs and their relationships were investigated for four seasons. MP particles &lt;20 mu m, constituting the majority of the samples, were successfully revealed by NR fluorescent analysis. As a result of the mu ATR-FTIR analyzes, it was seen that besides different polymer derivatives, dye-pigment types, some minerals and compounds, and abundant semi-synthetic fibers and natural fibers were also present. MPs concentration were found in the range of 7207-21,042 MP/m(3) in summer, 7245-32,950 MP/m(3) in autumn, 4035-58,270 MP/m(3) in winter and 7275-37,094 MP/m(3) in spring. For the same period, the concentrations of PAEs ranged from 9.24 to 115.21 ng/m(3) with an average value of 38.08 +/- 7.92 ng/m(3). PMF was also applied and four factors were extracted. Factor 1, accounts 52.26 % and 23.27 % of the total PAEs and MPs variances, was attributed to PVC sources. Factor 2, explaining 64.98 % of the total MPs variance had the highest loading of MPs and moderate loadings of relatively low molecular weight of PAEs, was attributed to plastics and personal care products. Factor 3, explaining the 28.31 % of the total PAEs variance was laden with BBP, DnBP, DiBP and DEP and was attributed to various plastic input during the sampling campaign coming from the industrial activities. The last factor accounts for 11.65 % of the total PAEs variance and was dominated by DMEP and it was linked to a source of the activities performed in the laboratories of the university.</t>
  </si>
  <si>
    <t>10.1016/j.scitotenv.2023.163508</t>
  </si>
  <si>
    <t>http://dx.doi.org/10.1016/j.scitotenv.2023.163508</t>
  </si>
  <si>
    <t>Celik-Saglam, I; Yurtsever, M; Civan, M; Yurdakul, S; Cetin, B</t>
  </si>
  <si>
    <t>Celik-Saglam, Isil; Yurtsever, Meral; Civan, Mihriban; Yurdakul, Sema; Cetin, Banu</t>
  </si>
  <si>
    <t>Air pollution; Microplastics; Phthalic acid esters; Correlation; Positive matrix factorization; NR fluorescent</t>
  </si>
  <si>
    <t>STREET DUST; NILE RED; CITY; AREA; WATER; QUANTIFICATION; IDENTIFICATION; ENVIRONMENTS; DEPOSITION; PARTICLES</t>
  </si>
  <si>
    <t>[Celik-Saglam, Isil; Cetin, Banu] Gebze Syst Univ, Dept Environm Engn, Kocaeli, Turkiye; [Yurtsever, Meral] Sakarya Univ, Dept Environm Engn, Sakarya, Turkiye; [Civan, Mihriban] Kocaeli Univ, Dept Environm Engn, Kocaeli, Turkiye; [Yurdakul, Sema] Suleymen Demirel Univ, Dept Environm Engn, Isparta, Turkiye</t>
  </si>
  <si>
    <t>Sakarya University; Kocaeli University; Suleyman Demirel University</t>
  </si>
  <si>
    <t>Cetin, B (corresponding author), Gebze Tech Univ, Dept Environm Engn, TR-41400 Kocaeli, Turkiye.</t>
  </si>
  <si>
    <t>M6TT1</t>
  </si>
  <si>
    <t>WOS:001031528100001</t>
  </si>
  <si>
    <t>Global warming and nanoplastic toxicity; small temperature increases can make gill and liver toxicity more dramatic, which affects fillet quality caused by polystyrene nanoplastics in the adult zebrafish model</t>
  </si>
  <si>
    <t>Increasing nanoplastics (NPs) pollution may lead to unknown environmental risks when considered together with cli-mate change, which has the potential to become an increasingly important environmental issue in the coming decades. In this context, the present study aimed to evaluate the stressor modelling of polystyrene nanoplastic (PS-NPs) com-bined with temperature increase in zebrafish. For this purpose, changes in gill, liver and muscle tissues of zebrafish ex-posed to PS-NPs (25 ppm) and/or different temperatures (28, 29 and 30 &amp; DEG;C) for 96 h under static conditions were evaluated. The results obtained emphasize that exposure to PS-NPs stressors under controlled conditions with temper-ature increase induces DNA damage through stress-induced responses accompanied by degeneration, necrosis and hyperaemia in zebrafish liver and adhesion of lamellae, desquamation and inflammation in lamellar epithelium in gills. Metabolomic analyses also supported changes indicating protein and lipid oxidation, especially PS-NPs -mediated. These findings will contribute to the literature as key data on the effects of PS-NPs presence on protein/ lipid oxidation and fillet quality in muscle tissues.</t>
  </si>
  <si>
    <t>10.1016/j.scitotenv.2023.164682</t>
  </si>
  <si>
    <t>http://dx.doi.org/10.1016/j.scitotenv.2023.164682</t>
  </si>
  <si>
    <t>Senol, O; Sulukan, E; Baran, A; Bolat, I; Toraman, E; Alak, G; Yildirim, S; Bilginj, G; Ceyhun, SB</t>
  </si>
  <si>
    <t>Senol, Onur; Sulukan, Ekrem; Baran, Alper; Bolat, Ismail; Toraman, Emine; Alak, Gonca; Yildirim, Serkan; Bilginj, Gokhan; Ceyhun, Saltuk Bugrahan</t>
  </si>
  <si>
    <t>Global warming; Nanoplastic; Polystyrene; Plastic toxicity; Metabolomics</t>
  </si>
  <si>
    <t>CYSTEINE</t>
  </si>
  <si>
    <t>[Senol, Onur; Ceyhun, Saltuk Bugrahan] Ataturk Univ, Fac Fisheries, Aquat Biotechnol Lab, Erzurum, Turkiye; [Sulukan, Ekrem; Baran, Alper; Ceyhun, Saltuk Bugrahan] Ataturk Univ, Fac Fisheries, Aquaculture Dept, Erzurum, Turkiye; [Sulukan, Ekrem] Ataturk Univ, Tech Vocat Sch, Dept Food Qual Control &amp; Anal, Erzurum, Turkiye; [Baran, Alper] Ataturk Univ, Fac Pharm, Dept Analyt Chem, Erzurum, Turkiye; [Bolat, Ismail; Yildirim, Serkan] Ataturk Univ, Fac Vet, Dept Pathol, Erzurum, Turkiye; [Toraman, Emine] Ataturk Univ, Fac Sci, Dept Mol Biol &amp; Genet, Erzurum, Turkiye; [Toraman, Emine] Ataturk Univ, Grad Sch Nat &amp; Appl Sci, Dept Mol Biol &amp; Genet, Erzurum, Turkiye; [Alak, Gonca] Ataturk Univ, Fac Fisheries, Dept Seafood Proc Technol, Erzurum, Turkiye; [Alak, Gonca; Ceyhun, Saltuk Bugrahan] Ataturk Univ, Grad Sch Nat &amp; Appl Sci, Dept Aquaculture Engn, Erzurum, Turkiye; [Bilginj, Gokhan] Prov Hlth Directorate Erzurum, Erzurum, Turkiye; [Ceyhun, Saltuk Bugrahan] Ataturk Univ, Grad Sch Nat &amp; Appl Sci, Dept Nanosci &amp; Nanoengn, Erzurum, Turkiye; [Ceyhun, Saltuk Bugrahan] Ataturk Univ, Fisheries Fac, Aquaculture Dept, TR-25240 Erzurum, Turkiye</t>
  </si>
  <si>
    <t>Ataturk University; Ataturk University; Ataturk University; Ataturk University; Ataturk University; Ataturk University; Ataturk University; Ataturk University; Ataturk University; Ataturk University; Ataturk University</t>
  </si>
  <si>
    <t>Ceyhun, SB (corresponding author), Ataturk Univ, Fisheries Fac, Aquaculture Dept, TR-25240 Erzurum, Turkiye.</t>
  </si>
  <si>
    <t>Bolat, Ismail/AAU-9698-2021</t>
  </si>
  <si>
    <t>Bolat, Ismail/0000-0003-1398-7046</t>
  </si>
  <si>
    <t>We would like to thank YOK (Council of Higher Education, Turkey) for the scholarship support given to Ekrem SULUKAN within the scope of the 100/2000 PhD program. We would like to thank DAYTAM (Eastern Anatolian High Technology Application Center) for support in metabolome analysis.</t>
  </si>
  <si>
    <t>M2BV2</t>
  </si>
  <si>
    <t>WOS:001028295500001</t>
  </si>
  <si>
    <t>High-Resolution Dielectric Characterization of Single Cells and Microparticles Using Integrated Microfluidic Microwave Sensors</t>
  </si>
  <si>
    <t>Microwave sensors can probe intrinsic material properties of analytes in a microfluidic channel at physiologically relevant ion concentrations. While microwave sensors have been used to detect single cells and microparticles in earlier studies, the synergistic use and comparative analysis of microwave sensors with optical microscopy for material classification and size tracking applications have been scarcely investigated so far. Here, we combined microwave and optical sensing to differentiate microscale objects based on their dielectric properties. We designed and fabricated two types of planar sensors: a coplanar waveguide (CPW) resonator and a split-ring resonator (SRR). Both sensors possessed sensing electrodes with a narrow gap to detect single cells passing through a microfluidic channel integrated on the same chip. We also show that standalone microwave sensors can track the relative changes in cellular size in real time. In sensing single 20-mu m-diameter polystyrene particles, signal-to-noise ratio values of approximately 100 for CPW and 70 for SRR sensors were obtained. These findings demonstrate that microwave sensing technology can serve as a complementary technique for single-cell biophysical experiments and microscale pollutant screening.</t>
  </si>
  <si>
    <t>10.1109/JSEN.2023.3250401</t>
  </si>
  <si>
    <t>http://dx.doi.org/10.1109/JSEN.2023.3250401</t>
  </si>
  <si>
    <t>Secme, A; Tefek, U; Sari, B; Pisheh, HS; Uslu, HD; Caliskan, OA; Kucukoglu, B; Erdogan, RT; Alhmoud, H; Sahin, O; Hanay, MS</t>
  </si>
  <si>
    <t>Secme, Arda; Tefek, Uzay; Sari, Burak; Pisheh, Hadi Sedaghat; Uslu, H. Dilara; Caliskan, Ozge Akbulut; Kucukoglu, Berk; Erdogan, Ramazan Tufan; Alhmoud, Hashim; Sahin, Ozgur; Hanay, M. Selim</t>
  </si>
  <si>
    <t>Sensors; Optical resonators; Optical sensors; Microwave measurement; Frequency measurement; Capacitive sensors; Optical variables measurement; Coplanar waveguide (CPW) resonators; Debye screening; dielectric characterization; impedance cytometry; impedance spectroscopy; label-free cell detection; microfluidic sensors; microfluidics; microplastics; microwave resonators; microwave sensors; on-chip sensors; optical microscopy; split-ring resonators (SRRs)</t>
  </si>
  <si>
    <t>IMPEDANCE SPECTROSCOPY; FLOW-CYTOMETRY; POSITIONAL DEPENDENCE; MASS; GROWTH; MICROPLASTICS; NANOPARTICLES; PERMITTIVITY; FREQUENCIES</t>
  </si>
  <si>
    <t>[Secme, Arda; Tefek, Uzay; Pisheh, Hadi Sedaghat; Uslu, H. Dilara; Kucukoglu, Berk; Erdogan, Ramazan Tufan; Alhmoud, Hashim; Hanay, M. Selim] Bilkent Univ, Dept Mech Engn, TR-06800 Ankara, Turkiye; [Sari, Burak] Sabanci Univ, Fac Engn &amp; Nat Sci, TR-34956 Istanbul, Turkiye; [Caliskan, Ozge Akbulut; Sahin, Ozgur] Bilkent Univ, Dept Mol Biol &amp; Genet, TR-06800 Ankara, Turkiye</t>
  </si>
  <si>
    <t>Ihsan Dogramaci Bilkent University; Sabanci University; Ihsan Dogramaci Bilkent University</t>
  </si>
  <si>
    <t>Hanay, MS (corresponding author), Bilkent Univ, Dept Mech Engn, TR-06800 Ankara, Turkiye.</t>
  </si>
  <si>
    <t>selimhanay@bilkent.edu.tr</t>
  </si>
  <si>
    <t>Akbulut Çalışkan, Özge/Q-8134-2018; Sahin, Ozgur/F-4403-2014</t>
  </si>
  <si>
    <t>Akbulut Çalışkan, Özge/0000-0002-3647-1969; Erdogan, R. Tufan/0000-0001-7657-6362; Sahin, Ozgur/0000-0002-8033-7089; Kucukoglu, Berk/0000-0002-5544-4392; Hanay, Mehmet Selim/0000-0002-1928-044X</t>
  </si>
  <si>
    <t>European Research Council (ERC) through the European Union [758769]</t>
  </si>
  <si>
    <t>European Research Council (ERC) through the European Union(European Research Council (ERC))</t>
  </si>
  <si>
    <t>This work was supported by the European Research Council (ERC) through the European Union's Horizon 2020 Research and Innovation Program under Agreement 758769. The associate editor coordinating the review of this article and approving it for publication was Dr. Levent Yobas.</t>
  </si>
  <si>
    <t>J7MH0</t>
  </si>
  <si>
    <t>WOS:001011420400013</t>
  </si>
  <si>
    <t>Investigating the influence of plastic waste oils and acetone blends on diesel engine combustion, pollutants, morphological and size particles: Dehalogenation and catalytic pyrolysis of plastic waste</t>
  </si>
  <si>
    <t>Most research into the treats of plastic wastes have concentrated mainly on single-exposure pathways or products. These practices fail to acknowledge that the complications of carbon particles from engines are produced not only by diesel but by any plastic oils due to the vast amount of contaminants. With the potential to significantly weaken the impact of contaminants, the present study investigates the effects of dehalogenation and catalytic pyrolysis on plastic waste, as well as the risks associated with plastic oil blends on diesel engine. Different types of washing were conducted to effectively dehalogenate plastic waste. After pretreatment, odor compounds were analyzed using GC-MS. Subsequently, various types of pretreated plastic samples underwent catalytic pyrolysis with a 5:1 ratio of HDPE to Al2O3 center dot 2SiO(2)center dot 2H(2)O. Differences in physico-chemical properties and hydrocarbon compounds of oils were determined. Experiments were performed using different fuel blends in a diesel engine under steady-state conditions, and their effects on combustion, emissions, morphology, and size particles were analyzed. The results show that sample B exhibited a lower toxicity level of 1,3-butadiene compared to other samples, while acetone and terpenes represented the second and third-highest emission levels in flakes, respectively. Sample C started to degrade at low temperatures (&lt;300 degrees C) due to carbon addition from ethyl acetate solvent into the tertiary carbon chain of the flakes. DAP3 fuel achieved a higher reaction due to its degree of unsaturation and lower viscosity, resulting in the formation of smaller fuel droplets at high injection pressure and heat release rate (HRR). Higher emission levels were observed by DAP1 and D100, exceeding the Euro 5/6 standard limits. However, DAP3 fuel resulted in an average reduction of similar to 17.14% and 21.86% in CO and smoke emissions, respectively, accompanied by a slight decrease in NOx and HC levels. Conversely, there were inconsistencies in the emission results observed with DAP2. Compared to D100, both DAP1 and DAP2 exhibited a significant accumulation and coarse particles in the PM10 forms at a peak of similar to 83 nm. Whereas the DAP3 showed a smaller mobility Dp with a low nucleation particle peak, which was prone to absorb the unburned HC soot and later change to accumulation mode particles.</t>
  </si>
  <si>
    <t>10.1016/j.enconman.2023.117312</t>
  </si>
  <si>
    <t>http://dx.doi.org/10.1016/j.enconman.2023.117312</t>
  </si>
  <si>
    <t>Yusuf, AA; Ampah, JD; Veza, I; Atabani, AE; Hoang, AT; Nippae, A; Powoe, MT; Afrane, S; Yusuf, DA; Yahuza, I</t>
  </si>
  <si>
    <t>Yusuf, Abdulfatah Abdu; Ampah, Jeffrey Dankwa; Veza, Ibham; Atabani, A. E.; Hoang, Anh Tuan; Nippae, Adolphus; Powoe, Mencer T.; Afrane, Sandylove; Yusuf, Danjuma A.; Yahuza, Ibrahim</t>
  </si>
  <si>
    <t>Plastic waste; Contaminants; Dehalogenation; Catalytic plastic oils; Morphology; Diesel engine</t>
  </si>
  <si>
    <t>HIGH-DENSITY POLYETHYLENE; PERFORMANCE; EMISSIONS; PRETREATMENT; POLYOLEFINS; MUNICIPAL; CRACKING</t>
  </si>
  <si>
    <t>[Yusuf, Abdulfatah Abdu; Nippae, Adolphus; Powoe, Mencer T.] Univ Liberia, Coll Engn, P O, Box 10-9020, 9020, Monrovia 1000, Liberia; [Ampah, Jeffrey Dankwa; Afrane, Sandylove] Tianjin Univ, Sch Environm Sci &amp; Engn, Tianjin 300072, Peoples R China; [Veza, Ibham] Univ Teknol Petronas, Dept Mech Engn, Seri Iskandar 32610, Malaysia; [Atabani, A. E.] Erciyes Univ, Fac Engn, Dept Mech Engn, Energy Div,Alternat Fuels Res Lab AFRL, TR-38039 Kayseri, Turkiye; [Atabani, A. E.] Yuan Ze Univ, Green Technol Res Ctr, Taoyuan City, Taiwan; [Hoang, Anh Tuan] HUTECH Univ, Inst Engn, Ho Chi Minh City, Vietnam; [Yusuf, Danjuma A.] Chongqing Univ, Sch Architecture &amp; Urban Planning, Chongqing 400044, Peoples R China; [Yahuza, Ibrahim] Air Force Inst Technol Kaduna, Dept Automot Engn, Kaduna, Nigeria; [Yusuf, Danjuma A.] Kano Univ Sci &amp; Technol, Fac Earth &amp; Environm Sci, PMB 3244, Kano, Nigeria</t>
  </si>
  <si>
    <t>Tianjin University; Universiti Teknologi Petronas; Erciyes University; Ho Chi Minh City University of Technology (HUTECH); Vietnam National University Hochiminh City; Chongqing University</t>
  </si>
  <si>
    <t>Yusuf, AA (corresponding author), Univ Liberia, Coll Engn, P O, Box 10-9020, 9020, Monrovia 1000, Liberia.</t>
  </si>
  <si>
    <t>yusufaa@ul.edu.lr</t>
  </si>
  <si>
    <t>Hoang, Anh Tuan/C-4780-2019; Yusuf, Abdulfatah Abdu/Z-5326-2019</t>
  </si>
  <si>
    <t>Hoang, Anh Tuan/0000-0002-1767-8040; Yusuf, Abdulfatah Abdu/0000-0002-8054-9022</t>
  </si>
  <si>
    <t>N1PE2</t>
  </si>
  <si>
    <t>WOS:001034807600001</t>
  </si>
  <si>
    <t>Macro- and microplastic abundance from recreational beaches along the South Aegean Sea (Turkiye)</t>
  </si>
  <si>
    <t>This study aimed to evaluate the abundance and diversity of macro- and microplastics in sand samples collected during summer and winter from eight different beaches used for recreational purposes located on the South Aegean coasts of Turkiye. According to the results, microplastic in fiber shape was dominant on all the beaches. The highest microplastic abundance was determined at &amp; BULL;Oludeniz Kumburnu Beach (360.00 &amp; PLUSMN; 237.66 particles kg-1 dw) in summer and at Aktur Beach (358.33 &amp; PLUSMN; 397.24 particles kg-1 dw) in winter. A significant positive correlation was found in the winter between microplastic amounts and wind speed. The study area is an important touristic center faraway from major cities and industrial areas. Thus, plastic pollution in this area may be the result of tourism activities in the summer, discharge waters from wastewater treatment plants or transportation by meteorological factors (like waves, wind or river flows).</t>
  </si>
  <si>
    <t>10.1016/j.marpolbul.2023.115329</t>
  </si>
  <si>
    <t>http://dx.doi.org/10.1016/j.marpolbul.2023.115329</t>
  </si>
  <si>
    <t>Sener, I; Yabanli, M</t>
  </si>
  <si>
    <t>Sener, Idris; Yabanli, Murat</t>
  </si>
  <si>
    <t>Anthropogenic activities; Marine litter; Plastic pollution; Meteorological factors; Beach sand; South Aegean Sea coasts</t>
  </si>
  <si>
    <t>SMALL-PLASTIC DEBRIS; MARINE-ENVIRONMENT; SANDY BEACHES; BALTIC SEA; POLLUTION; SEDIMENTS; EXTRACTION; ACCUMULATION; PENINSULA; ECOSYSTEM</t>
  </si>
  <si>
    <t>[Sener, Idris; Yabanli, Murat] Mugla Sitki Kocman Univ, Fac Fisheries, Dept Aquat Sci, Mugla, Turkiye</t>
  </si>
  <si>
    <t>Sener, I (corresponding author), Mugla Sitki Kocman Univ, Fac Fisheries, Dept Aquat Sci, Mugla, Turkiye.</t>
  </si>
  <si>
    <t>idris_943@hotmail.com</t>
  </si>
  <si>
    <t>Council of Higher Education in Tuerkiye</t>
  </si>
  <si>
    <t>This study reports part of the results obtained within the PhD thesis of Dr. Idris Sener graduated at Mugla Sitki Kocman University, School of Natural and Applied Sciences. Authors would like to thank the Council of Higher Education in Tuerkiye for the scholarship received by Dr. Idris Sener within the scope of YOK 100/2000 PhD Project. The authors would like to thank Dr. Daniela Giannetto (Mugla Sitki Kocman University) for their helpful comments on the MS, Dr. Aykut Yozukmaz (Mugla Sitki Kocman University), Dr. Mustafa Dondue, Dr. Murat Celik, Ezgi Ozdemir, Oguzhan Demir and Valeria Catania for their useful support during the sampling activities and laboratory analyses and Dr. Ozge Tokul Olmez (Mugla Sitki Kocman University) for her support in ATR-FTIR analyzes.</t>
  </si>
  <si>
    <t>P0GL7</t>
  </si>
  <si>
    <t>WOS:001047508700001</t>
  </si>
  <si>
    <t>Microplastic and oil pollutant agglomerates synergistically intensify toxicity in the marine fish, Asian seabass, Lates calcalifer</t>
  </si>
  <si>
    <t>Asian seabass, Lates calcarifer frys were exposed to polystyrene (MP: 0.5 mg/l), oil (0.83 ml/l) and agglomerates (MP + oil + Corexit) as eight treatments in three replicates, and fresh synthetic marine water (control) for 15 days. The synergistic effect was confirmed (P ?? 0.05) by bio-indicators including RBC count, total plasma protein, aspartate aminotransferase (AST), catalase (CAT), glutathione S-transferase (GST), basophils, thrombocyte and eosinophils percentages. Most of the significant and synergistic effects were observed in the highest doses (5 mg/l MP and 5 mg/l MP-oil-dispersant). Exposure to MP and a combination of MP+ oil caused tissue lesions in gill, liver and intestine. Our results suggest there are no critical health issues for Asian seabass in natural environments. However, the bioaccumulation of MPs, oil, and their agglomerates in consumers??? bodies may remain a concern.</t>
  </si>
  <si>
    <t>10.1016/j.etap.2022.104059</t>
  </si>
  <si>
    <t>http://dx.doi.org/10.1016/j.etap.2022.104059</t>
  </si>
  <si>
    <t>Sahabuddin, ES; Noreen, A; Daabo, HMA; Kandeel, M; Saleh, MM; Al-qaim, ZH; Jawad, MA; Sivaraman, R; Fenjan, MN; Mustafa, YF; Heidary, A; Abarghouei, S; Norbakhsh, M</t>
  </si>
  <si>
    <t>Sahabuddin, Erma Suryani; Noreen, Ayesha; Daabo, Hamid Mahmood Abdullah; Kandeel, Mahmoud; Saleh, Marwan Mahmood; Al-qaim, Zahraa Haleem; Jawad, Mohammed Abed; Sivaraman, Ramaswamy; Fenjan, Mohammed N.; Mustafa, Yasser Fakri; Heidary, Aadel; Abarghouei, Safoura; Norbakhsh, Maryam</t>
  </si>
  <si>
    <t>ENVIRONMENTAL TOXICOLOGY AND PHARMACOLOGY</t>
  </si>
  <si>
    <t>Microplastics; Seabass; Oil; Dispersant; Agglomerate; Cage culture</t>
  </si>
  <si>
    <t>OXIDATIVE STRESS; RAINBOW-TROUT; POLYSTYRENE MICROPLASTICS; EXPOSURE; INFLAMMATION; PARAMETERS; PROLIFERATION; ACCUMULATION; AQUACULTURE; HEMATOLOGY</t>
  </si>
  <si>
    <t>[Sahabuddin, Erma Suryani] Univ Negeri Makassar, Populat &amp; Enviromental Educ Studies, Makassar, Indonesia; [Noreen, Ayesha] Ankara Univ, Grad Sch Social Sci, Dept Social Environm Sci, Ankara, Turkiye; [Daabo, Hamid Mahmood Abdullah] Duhok Polytechn Univ, Duhok Syst Inst, Pharm Dept, Duhok, Iraq; [Kandeel, Mahmoud] King Faisal Univ, Coll Vet Med, Dept BioMed Sci, Al Hufuf 31982, Al Ahsa, Saudi Arabia; [Kandeel, Mahmoud] Kafrelshikh Univ, Fac Vet Med, Dept Pharmacol, Kafrelshikh 33516, Egypt; [Saleh, Marwan Mahmood] Univ Anbar, Coll Appl Sci, Anbar, Iraq; [Al-qaim, Zahraa Haleem] Al Mustaqbal Univ Coll, Dept Anesthesia Techn, Hillah, Iraq; [Jawad, Mohammed Abed] Al Nisour Univ Coll, Dept Pharm, Baghdad, Iraq; [Sivaraman, Ramaswamy] Dwaraka Doss Goverdhan Doss Vaishnav Coll, Chennai, India; [Fenjan, Mohammed N.] Al Ayen Univ, Coll Hlth &amp; Med Technol, Thi Qar, Iraq; [Mustafa, Yasser Fakri] Univ Mosul, Coll Pharm, Dept Pharmaceut Chem, Mosul 41001, Iraq; [Heidary, Aadel] Environm Expert Farsan Municipal, Shahrekord, Iran; [Abarghouei, Safoura] Bahar Avaran Nastaran Agr Univ Appl Sci, Qom, Iran; [Norbakhsh, Maryam] Islamic Azad Univ Sci &amp; Res Branch, Fac Biol, Dept Microbiol, Tehran, Iran</t>
  </si>
  <si>
    <t>Universitas Negeri Makassar; Ankara University; King Faisal University; Egyptian Knowledge Bank (EKB); Kafrelsheikh University; University of Anbar; Al-Mustaqbal University College; Al-Nisour University College; University of Mosul; Islamic Azad University</t>
  </si>
  <si>
    <t>Noreen, A (corresponding author), Ankara Univ, Grad Sch Social Sci, Dept Social Environm Sci, Ankara, Turkiye.</t>
  </si>
  <si>
    <t>anoreen@ankara.edu.tr</t>
  </si>
  <si>
    <t>Mustafa, Yasser Fakri/0000-0002-0926-7428; R, Sivaraman/0000-0001-5989-4422</t>
  </si>
  <si>
    <t>1382-6689</t>
  </si>
  <si>
    <t>1872-7077</t>
  </si>
  <si>
    <t>ENVIRON TOXICOL PHAR</t>
  </si>
  <si>
    <t>Environ. Toxicol. Pharmacol.</t>
  </si>
  <si>
    <t>Environmental Sciences; Pharmacology &amp; Pharmacy; Toxicology</t>
  </si>
  <si>
    <t>Environmental Sciences &amp; Ecology; Pharmacology &amp; Pharmacy; Toxicology</t>
  </si>
  <si>
    <t>M2BN1</t>
  </si>
  <si>
    <t>WOS:001028287400001</t>
  </si>
  <si>
    <t>Microplastic distribution in the surface water and sediment of the Ergene River</t>
  </si>
  <si>
    <t>Rivers are major transport pathways for microplastics to reach the oceans. Although gained much attention over the last few years, there is still a relatively lack of knowledge on microplastics in rivers. This study aims to investigate (i) spatiotemporal distribution of microplastics in an industrially polluted river, (ii) the relationship of microplastic abundance with river's morphological and hydrodynamic characteristics (iii) the potential sources of microplastics inferred from the particle characteristics including shape, size, color and type. To achieve these aims, water and sediment samples were collected from six sites upstream of the Ergene River in May 2019 and Sep 2020. According to the results, surface water had an average concentration of 4.65 &amp; PLUSMN; 2.06 and 6.90 &amp; PLUSMN; 5.16 items L-1 (mean &amp; PLUSMN; standard deviation, n = 12), respectively for the May 2019 and September 2020 periods, whereas 97.90 &amp; PLUSMN; 71.72 and 277.76 &amp; PLUSMN; 207.21 items kg-1 (n = 18) were observed for the sediment compartment, respectively. Microplastic levels in water correlated positively with stream depth but negatively with channel width. Fibers were the dominating shape both in water (88%) and sediment (70%) and majority of the particles were black (49% in water and 39% in sediment) and blue (25% in water and 18% in sediment). According to Raman spectroscopic analysis, polyethylene terephthalate (PET, 28%) and polyamide (PA, 27%) were dominating polymers in water, while polystyrene (PS, 56%) were dominant in sediment. Compared to many other rivers, the Ergene River had excessive levels of microplastics. The research indicated that textile industries and effluents from organized industrial zones were the foremost contributor of microplastics in the river.</t>
  </si>
  <si>
    <t>10.1016/j.envres.2023.116500</t>
  </si>
  <si>
    <t>http://dx.doi.org/10.1016/j.envres.2023.116500</t>
  </si>
  <si>
    <t>Akdogan, Z; Guven, B; Kideys, AE</t>
  </si>
  <si>
    <t>Akdogan, Zeynep; Guven, Basak; Kideys, Ahmet E.</t>
  </si>
  <si>
    <t>Microplastics; Surface water; Sediment; Ergene river; Distribution</t>
  </si>
  <si>
    <t>PLASTIC DEBRIS; MARINE-ENVIRONMENT; RAMAN-SPECTROSCOPY; FORENSIC ANALYSIS; GUANGZHOU CITY; PEARL RIVER; URBAN RIVER; FIBERS; ABUNDANCE; POLLUTION</t>
  </si>
  <si>
    <t>[Akdogan, Zeynep; Guven, Basak] Bogaz Univ, Inst Environm Sci, TR-34342 Istanbul, Turkiye; [Kideys, Ahmet E.] Middle East Tech Univ, Inst Marine Sci, TR-33731 Mersin, Turkiye</t>
  </si>
  <si>
    <t>Guven, B (corresponding author), Bogaz Univ, Inst Environm Sci, TR-34342 Istanbul, Turkiye.</t>
  </si>
  <si>
    <t>KIDEYS, AHMET ERKAN/0000-0002-1113-2434</t>
  </si>
  <si>
    <t>Bog ? azii University Research Fund [14507]</t>
  </si>
  <si>
    <t>Bog ? azii University Research Fund</t>
  </si>
  <si>
    <t>This research is supported by Bog ? azici University Research Fund [grant number 14507] . Raman analysis was implemented in Bog ? azici University Advanced Technologies Research &amp; Development Center. Thanks to Burcu Selen Cag ? layan for her efforts in Raman analysis. The authors appreciate Guls , ah Can Kayadelen and Ertan Kes , , for their sup- port with the visual identification and extraction of microplastics.</t>
  </si>
  <si>
    <t>N7JW3</t>
  </si>
  <si>
    <t>WOS:001038739900001</t>
  </si>
  <si>
    <t>Numerical analysis and experimental verification of optical scattering from microplastics</t>
  </si>
  <si>
    <t>Accurate and fast characterization of the micron-sized plastic particles in aqueous media requires an in-depth understanding of light interaction with these particles. Due to the complexity of Mie scattering theory, the features of the scattered light have rarely been related to the physical properties of these tiny objects. To address this problem, we reveal the relation of the wavelength-dependent optical scattering patterns with the size and refractive index of the particles by numerically studying the angular scattering features. We subsequently present a low-cost setup to measure the optical scattering of the particles. Theoretical investigation shows that the angular distribution of the scattered light by microplastics carries distinct signatures of the particle size and the refractive index. The results can be used to develop a portable, low-cost setup to detect microplastics in water.</t>
  </si>
  <si>
    <t>10.1098/rsos.230586</t>
  </si>
  <si>
    <t>http://dx.doi.org/10.1098/rsos.230586</t>
  </si>
  <si>
    <t>Genc, S; Icoz, K; Erdem, T</t>
  </si>
  <si>
    <t>Genc, Sinan; Icoz, Kutay; Erdem, Talha</t>
  </si>
  <si>
    <t>ROYAL SOCIETY OPEN SCIENCE</t>
  </si>
  <si>
    <t>optical scattering; Mie theory; microparticles; microplastics</t>
  </si>
  <si>
    <t>PARTICLES; MICROPARTICLES; RADIATION; POLLUTION; RELEASE</t>
  </si>
  <si>
    <t>[Genc, Sinan; Icoz, Kutay; Erdem, Talha] Abdullah Gul Univ, Fac Engn, Dept Elect Elect Engn, TR-38080 Kayseri, Turkiye</t>
  </si>
  <si>
    <t>Abdullah Gul University; Erciyes University</t>
  </si>
  <si>
    <t>Erdem, T (corresponding author), Abdullah Gul Univ, Fac Engn, Dept Elect Elect Engn, TR-38080 Kayseri, Turkiye.</t>
  </si>
  <si>
    <t>erdem.talha@agu.edu.tr</t>
  </si>
  <si>
    <t>Erdem, Talha/A-1323-2012; Icoz, Kutay/J-2063-2015</t>
  </si>
  <si>
    <t>Erdem, Talha/0000-0003-3905-376X; Icoz, Kutay/0000-0002-0947-6166</t>
  </si>
  <si>
    <t>ROYAL SOC</t>
  </si>
  <si>
    <t>6-9 CARLTON HOUSE TERRACE, LONDON SW1Y 5AG, ENGLAND</t>
  </si>
  <si>
    <t>2054-5703</t>
  </si>
  <si>
    <t>ROY SOC OPEN SCI</t>
  </si>
  <si>
    <t>R. Soc. Open Sci.</t>
  </si>
  <si>
    <t>O5QJ3</t>
  </si>
  <si>
    <t>WOS:001044350800002</t>
  </si>
  <si>
    <t>Plastic debris in lakes and reservoirs</t>
  </si>
  <si>
    <t>Plastic debris is thought to be widespread in freshwater ecosystems globally(1). However, a lack of comprehensive and comparable data makes rigorous assessment of its distribution challenging(2,3). Here we present a standardized cross-national survey that assesses the abundance and type of plastic debris (&gt;250 mu m) in freshwater ecosystems. We sample surface waters of 38 lakes and reservoirs, distributed across gradients of geographical position and limnological attributes, with the aim to identify factors associated with an increased observation of plastics. We find plastic debris in all studied lakes and reservoirs, suggesting that these ecosystems play a key role in the plastic-pollution cycle. Our results indicate that two types of lakes are particularly vulnerable to plastic contamination: lakes and reservoirs in densely populated and urbanized areas and large lakes and reservoirs with elevated deposition areas, long water-retention times and high levels of anthropogenic influence. Plastic concentrations vary widely among lakes; in the most polluted, concentrations reach or even exceed those reported in the subtropical oceanic gyres, marine areas collecting large amounts of debris(4). Our findings highlight the importance of including lakes and reservoirs when addressing plastic pollution, in the context of pollution management and for the continued provision of lake ecosystem services.</t>
  </si>
  <si>
    <t>10.1038/s41586-023-06168-4</t>
  </si>
  <si>
    <t>http://dx.doi.org/10.1038/s41586-023-06168-4</t>
  </si>
  <si>
    <t>Nava, V; Chandra, S; Aherne, J; Alfonso, MB; Antao-Geraldes, AM; Attermeyer, K; Bao, R; Bartrons, M; Berger, SA; Biernaczyk, M; Bissen, R; Brookes, JD; Brown, D; Canedo-Arguelles, M; Canle, M; Capelli, C; Carballeira, R; Cereijo, JL; Chawchai, S; Christensen, ST; Christoffersen, KS; de Eyto, E; Delgado, J; Dornan, TN; Doubek, JP; Dusaucy, J; Erina, O; Ersoy, Z; Feuchtmayr, H; Frezzotti, ML; Galafassi, S; Gateuille, D; Goncalves, V; Grossart, HP; Hamilton, DP; Harris, TD; Kangur, K; Kankilic, GB; Kessler, R; Kiel, C; Krynak, EM; Leiva-Presa, A; Lepori, F; Matias, MG; Matsuzaki, SS; McElarney, Y; Messyasz, B; Mitchell, M; Mlambo, MC; Motitsoe, SN; Nandini, S; Orlandi, V; Owens, C; Ozkundakci, D; Pinnow, S; Pociecha, A; Raposeiro, PM; Room, EI; Rotta, F; Salmaso, N; Sarma, SSS; Sartirana, D; Scordo, F; Sibomana, C; Siewert, D; Stepanowska, K; Tavsanoglu, UN; Tereshina, M; Thompson, J; Tolotti, M; Valois, A; Verburg, P; Welsh, B; Wesolek, B; Weyhenmeyer, GA; Wu, NC; Zawisza, E; Zink, L; Leoni, B</t>
  </si>
  <si>
    <t>Nava, Veronica; Chandra, Sudeep; Aherne, Julian; Alfonso, Maria B.; Antao-Geraldes, Ana M.; Attermeyer, Katrin; Bao, Roberto; Bartrons, Mireia; Berger, Stella A.; Biernaczyk, Marcin; Bissen, Raphael; Brookes, Justin D.; Brown, David; Canedo-Argueelles, Miguel; Canle, Moises; Capelli, Camilla; Carballeira, Rafael; Cereijo, Jose Luis; Chawchai, Sakonvan; Christensen, Soren T.; Christoffersen, Kirsten S.; de Eyto, Elvira; Delgado, Jorge; Dornan, Tyler N.; Doubek, Jonathan P.; Dusaucy, Julia; Erina, Oxana; Ersoy, Zeynep; Feuchtmayr, Heidrun; Frezzotti, Maria Luce; Galafassi, Silvia; Gateuille, David; Goncalves, Vitor; Grossart, Hans-Peter; Hamilton, David P.; Harris, Ted D.; Kangur, Kuelli; Kankilic, Goekben Basaran; Kessler, Rebecca; Kiel, Christine; Krynak, Edward M.; Leiva-Presa, Angels; Lepori, Fabio; Matias, Miguel G.; Matsuzaki, Shin-ichiro S.; McElarney, Yvonne; Messyasz, Beata; Mitchell, Mark; Mlambo, Musa C.; Motitsoe, Samuel N.; Nandini, Sarma; Orlandi, Valentina; Owens, Caroline; Ozkundakci, Deniz; Pinnow, Solvig; Pociecha, Agnieszka; Raposeiro, Pedro Miguel; Room, Eva-Ingrid; Rotta, Federica; Salmaso, Nico; Sarma, S. S. S.; Sartirana, Davide; Scordo, Facundo; Sibomana, Claver; Siewert, Daniel; Stepanowska, Katarzyna; Tavsanoglu, UlkU Nihan; Tereshina, Maria; Thompson, James; Tolotti, Monica; Valois, Amanda; Verburg, Piet; Welsh, Brittany; Wesolek, Brian; Weyhenmeyer, Gesa A.; Wu, Naicheng; Zawisza, Edyta; Zink, Lauren; Leoni, Barbara</t>
  </si>
  <si>
    <t>NATURE</t>
  </si>
  <si>
    <t>MICROPLASTIC POLLUTION; FRESH-WATER; MARINE; VALIDATION; INGESTION; FIBERS</t>
  </si>
  <si>
    <t>[Nava, Veronica; Frezzotti, Maria Luce; Orlandi, Valentina; Sartirana, Davide; Leoni, Barbara] Univ Milano Bicocca, Dept Earth &amp; Environm Sci, Milan, Italy; [Chandra, Sudeep; Krynak, Edward M.] Univ Nevada, Global Water Ctr, Dept Biol, Reno, NV USA; [Chandra, Sudeep; Krynak, Edward M.] Univ Nevada, Dept Biol, Reno, NV USA; [Aherne, Julian; Welsh, Brittany] Trent Univ, Sch Environm, Peterborough, ON, Canada; [Alfonso, Maria B.] Kyushu Univ, Res Inst Appl Mech, Fukuoka, Japan; [Antao-Geraldes, Ana M.] Inst Politecn Braganca, Ctr Invest Montanha CIMO, P-5300253 Braganca, Portugal; [Antao-Geraldes, Ana M.] Inst Politecn Braganca, Lab Associado Sustentabilidade &amp; Tecnol Regioes Mo, P-5300253 Braganca, Portugal; [Attermeyer, Katrin] WasserCluster Lunz, Biol Stn, Lunz Am See, Austria; [Attermeyer, Katrin] Univ Vienna, Dept Funct &amp; Evolutionary Ecol, Vienna, Austria; [Bao, Roberto; Carballeira, Rafael] Univ A Coruna, Ctr Interdisciplinar Quim &amp; Biol CICA, GRICA Grp, La Coruna, Spain; [Bartrons, Mireia; Leiva-Presa, Angels] Cent Univ Catalonia, Univ Vic, Aquat Ecol Grp, Vic, Spain; [Berger, Stella A.; Grossart, Hans-Peter; Kiel, Christine; Pinnow, Solvig] Leibniz Inst Freshwater Ecol &amp; Inland Fisheries, Dept Plankton &amp; Microbial Ecol, Stechlin, Germany; [Biernaczyk, Marcin; Stepanowska, Katarzyna] West Pomeranian Univ Technol, Fac Food Sci &amp; Fisheries, Szczecin, Poland; [Bissen, Raphael] Chulalongkorn Univ, Dept Min &amp; Petr Engn, Bangkok, Thailand; [Brookes, Justin D.; Dornan, Tyler N.] Univ Adelaide, Sch Biol Sci, Adelaide, Australia; [Brown, David] Horizons Reg Council, Dept Environm Data, Palmerston North, New Zealand; [Canedo-Argueelles, Miguel] Inst Environm Assessment &amp; Water Res IDAEA CSIC, FEHM Lab, Barcelona, Spain; [Canle, Moises] Univ A Coruna, Fac Sci, Catedra EMALCSA UDC, React Grp, La Coruna, Spain; [Canle, Moises] Univ A Coruna, CICA, La Coruna, Spain; [Capelli, Camilla; Lepori, Fabio; Rotta, Federica] Univ Appl Sci &amp; Arts Southern Switzerland SUPSI, Inst Earth Sci, Mendrisio, Switzerland; [Carballeira, Rafael] Univ Valencia, Cavanilles Inst Biodivers &amp; Evolutionary Biol, Valencia, Spain; [Cereijo, Jose Luis; Delgado, Jorge] Univ A Coruna, Water &amp; Environm Engn Grp, La Coruna, Spain; [Chawchai, Sakonvan] Chulalongkorn Univ, Dept Geol, Bangkok, Thailand; [Christensen, Soren T.] Cphbusiness Lab &amp; Environm, Hillerod, Denmark; [Christoffersen, Kirsten S.] Univ Copenhagen, Dept Biol, Copenhagen, Denmark; [de Eyto, Elvira] Marine Inst, Newport, Ireland; [Doubek, Jonathan P.] Lake Super State Univ, Sch Nat Resources &amp; Environm, Sault Sainte Marie, MI USA; [Doubek, Jonathan P.] Lake Super State Univ, Ctr Freshwater Res &amp; Educ, Sault Sainte Marie, MI USA; [Dusaucy, Julia; Gateuille, David] Univ Grenoble Alpes, Savoie Mont Blanc Univ, CNRS, EDYTEM, Chambery, France; [Erina, Oxana; Tereshina, Maria] Lomonosov Moscow State Univ, Dept Hydrol, Moscow, Russia; [Erina, Oxana] Moscow State Univ Technol &amp; Management FCU, Fac Biotechnol &amp; Fisheries, Moscow, Russia; [Ersoy, Zeynep] Univ Barcelona UB, Dept Biol Evolut Ecol &amp; Ciencies Ambientals, FEHM Lab Freshwater Ecol Hydrol &amp; Management, Barcelona, Spain; [Ersoy, Zeynep] Univ Barcelona UB, Inst Recerca Biodiversitat IRBio, Barcelona, Spain; [Ersoy, Zeynep; Matias, Miguel G.] Univ Evora, Mediterranean Inst Agr Environm &amp; Dev MED, Rui Nabeiro Biodivers Chair, Evora, Portugal; [Feuchtmayr, Heidrun] UK Ctr Ecol &amp; Hydrol, Lake Ecosyst Grp, Lancaster, England; [Galafassi, Silvia] CNR, Water Res Inst, Verbania, Italy; [Goncalves, Vitor; Raposeiro, Pedro Miguel] Univ Acores, UNESCO Chair Land Sea Biodivers &amp; Sustainabil Atla, Ctr Invest Biodiversidade &amp; Recursos Genet, CIBIO,InBIO Lab Associado,BIOPOLIS Program Genom B, Sao Miguel, Acores, Portugal; [Goncalves, Vitor; Raposeiro, Pedro Miguel] Univ Acores, Fac Ciencias &amp; Tecnol, Ponta Delgada, Portugal; [Grossart, Hans-Peter] Potsdam Univ, Inst Biochem &amp; Biol, Potsdam, Germany; [Hamilton, David P.] Griffith Univ, Australian Rivers Inst, Nathan, Qld, Australia; [Harris, Ted D.; Kessler, Rebecca] Univ Kansas, Kansas Biol Survey, Lawrence, KS USA; [Harris, Ted D.; Kessler, Rebecca] Univ Kansas, Ctr Ecol Res, Lawrence, KS USA; [Kangur, Kuelli] Estonian Univ Life Sci, Tartu, Estonia; [Kankilic, Goekben Basaran] Kirikkale Univ, Dept Biol, Kirikkale, Turkiye; [Matias, Miguel G.] CSIC, Museo Nacl Ciencias Nat, Madrid, Spain; [Matsuzaki, Shin-ichiro S.] Natl Inst Environm Studies, Biodivers Div, Tsukuba, Japan; [McElarney, Yvonne; Thompson, James] Agrifood &amp; Biosci Inst, Fisheries &amp; Aquat Ecosyst, Belfast, North Ireland; [Messyasz, Beata] Adam Mickiewicz Univ, Inst Environm Biol, Dept Hydrobiol, Poznan, Poland; [Mitchell, Mark] Horizons Reg Council, Dept Sci &amp; Innovat, Palmerston North, New Zealand; [Mlambo, Musa C.] Albany Museum, Dept Freshwater Invertebrates, Grahamstown, South Africa; [Motitsoe, Samuel N.] Rhodes Univ, Dept Zool &amp; Entomol, Grahamstown, South Africa; [Nandini, Sarma; Sarma, S. S. S.] Univ Nacl Autonoma Mexico, FES Iztacala, Tlalnepantla, Mexico; [Owens, Caroline] Univ Calif Santa Barbara, Dept Ecol Evolut &amp; Marine Biol, Santa Barbara, CA USA; [Ozkundakci, Deniz] Univ Waikato, Environm Res Inst, Hamilton, New Zealand; [Pociecha, Agnieszka] Polish Acad Sci, Inst Nat Conservat, Dept Freshwater Biol, Krakow, Poland; [Room, Eva-Ingrid] Estonian Univ Life Sci, Inst Agr &amp; Environm Sci, Tartu, Estonia; [Salmaso, Nico; Tolotti, Monica] Fdn Edmund Mach, Res &amp; Innovat Ctr, San Michele All Adige, Italy; [Scordo, Facundo] Univ Nacl Sur UNS, Inst Argentino Oceanog, CONICET, Bahia Blanca, Argentina; [Scordo, Facundo] Univ Nacl Sur, Dept Geog &amp; Turismo, Bahia Blanca, Argentina; [Sibomana, Claver] Univ Burundi, Ctr Res Nat &amp; Environm Sci, Bujumbura, Burundi; [Sartirana, Davide] Wdecki Pk Krajobrazowy, Osie, Poland; [Tavsanoglu, UlkU Nihan] Cankiri Karatekin Univ, Dept Biol, Cankiri, Turkiye; [Thompson, James] Ulster Univ, Sch Geog &amp; Environm Sci, Coleraine, North Ireland; [Valois, Amanda; Wesolek, Brian] Freshwater Ecol, Natl Inst Water &amp; Atmospher Res, Hamilton, New Zealand; [Valois, Amanda] Freshwater Ecol, Natl Inst Water &amp; Atmospher Res, Wellington, New Zealand; [Verburg, Piet] Bay Mills Indian Community, Biol Serv Dept, Brimley, MI USA; [Weyhenmeyer, Gesa A.] Uppsala Univ, Dept Ecol &amp; Genet, Limnol Grp, Uppsala, Sweden; [Wu, Naicheng] Ningbo Univ, Dept Geog &amp; Spatial Informat Tech, Ningbo, Peoples R China; [Zawisza, Edyta] Polish Acad Sci, Inst Geol Sci, Warsaw, Poland; [Zink, Lauren] Univ Lethbridge, Dept Biol Sci, Lethbridge, AB, Canada</t>
  </si>
  <si>
    <t>University of Milano-Bicocca; Nevada System of Higher Education (NSHE); University of Nevada Reno; Nevada System of Higher Education (NSHE); University of Nevada Reno; Trent University; Kyushu University; Instituto Politecnico de Braganca; Instituto Politecnico de Braganca; University of Vienna; Universidade da Coruna; Centro interdisciplinar de Quimica e Bioloxia CICA; Universitat de Vic - Universitat Central de Catalunya (UVic-UCC); Leibniz Institut fur Gewasserokologie und Binnenfischerei (IGB); West Pomeranian University of Technology; Chulalongkorn University; University of Adelaide; Consejo Superior de Investigaciones Cientificas (CSIC); CSIC - Centro de Investigacion y Desarrollo Pascual Vila (CID-CSIC); CSIC - Instituto de Diagnostico Ambiental y Estudios del Agua (IDAEA); Universidade da Coruna; Universidade da Coruna; Centro interdisciplinar de Quimica e Bioloxia CICA; University of Valencia; Universidade da Coruna; Chulalongkorn University; University of Copenhagen; Marine Institute Ireland; Centre National de la Recherche Scientifique (CNRS); Universite de Savoie; Communaute Universite Grenoble Alpes; UDICE-French Research Universities; Universite Grenoble Alpes (UGA); Lomonosov Moscow State University; University of Barcelona; University of Barcelona; University of Evora; UK Centre for Ecology &amp; Hydrology (UKCEH); Consiglio Nazionale delle Ricerche (CNR); Istituto di Ricerca sulle Acque (IRSA-CNR); Universidade dos Acores; Universidade dos Acores; University of Potsdam; Griffith University; University of Kansas; University of Kansas; Estonian University of Life Sciences; Kirikkale University; Consejo Superior de Investigaciones Cientificas (CSIC); CSIC - Museo Nacional de Ciencias Naturales (MNCN); National Institute for Environmental Studies - Japan; Agri-Food &amp; Biosciences Institute; Adam Mickiewicz University; Rhodes University; Rhodes University; Universidad Nacional Autonoma de Mexico; University of California System; University of California Santa Barbara; University of Waikato; Polish Academy of Sciences; Estonian University of Life Sciences; Fondazione Edmund Mach; Consejo Nacional de Investigaciones Cientificas y Tecnicas (CONICET); National University of the South; National University of the South; Cankiri Karatekin University; Ulster University; National Institute of Water &amp; Atmospheric Research (NIWA) - New Zealand; National Institute of Water &amp; Atmospheric Research (NIWA) - New Zealand; Uppsala University; Ningbo University; Polish Academy of Sciences; Institute of Geological Sciences of the Polish Academy of Sciences; University of Lethbridge</t>
  </si>
  <si>
    <t>Nava, V (corresponding author), Univ Milano Bicocca, Dept Earth &amp; Environm Sci, Milan, Italy.</t>
  </si>
  <si>
    <t>veronica.nava@unimib.it</t>
  </si>
  <si>
    <t>Biernaczyk, Marcin/G-5037-2016; Stepanowska, Katarzyna Ewa/AAI-4470-2021; Gonçalves, Vítor/F-2725-2012; Bao, Roberto/D-4092-2009; Delgado Martin, Jordi/H-7819-2015; Feuchtmayr, Heidrun/K-2530-2016; Sarma, S.S.S./G-3634-2010; Antao- Geraldes, Ana Maria/J-8566-2014; Christoffersen, Kirsten Seestern/K-8423-2014</t>
  </si>
  <si>
    <t>Biernaczyk, Marcin/0000-0002-7542-4233; Stepanowska, Katarzyna Ewa/0000-0003-2359-4844; Gonçalves, Vítor/0000-0002-5737-296X; Bao, Roberto/0000-0002-2928-2836; Delgado Martin, Jordi/0000-0002-8261-8087; Owens, Caroline/0000-0002-1675-5702; Feuchtmayr, Heidrun/0000-0002-2028-4843; Chandra, Sudeep/0000-0003-1724-5154; Dornan, Tyler/0000-0002-4998-7577; Sarma, S.S.S./0000-0003-2820-1579; Antao- Geraldes, Ana Maria/0000-0003-4966-2227; Christoffersen, Kirsten Seestern/0000-0002-3324-1017; Cereijo Arango, Jose Luis/0000-0002-0593-9725</t>
  </si>
  <si>
    <t>US NSF [1137327, 1702991]; US NSF; University of Milano-Bicocca (UNIMIB); Foundation for Science and Technology (FCT, Portugal) through national funds FCT/MCTES (PIDDAC); Project IMPACOM of Spanish Ministry of Science and Innovation; Ramon y Cajal - Spanish Ministry of Science and Innovation; Catedra EMALCSA-UDC; Juan de la Cierva; Project FJC of the Spanish Ministry of Science and Innovation - Next Generation EU; Portuguese Science and Technology Foundation (FCT); Natural Environment Research Council as part of UK-SCaPE programme delivering National Capability; European Union Horizon 2020 Research and Innovation 772 programme; Australian Research Council; Rhodes University; University Capacity Development Programme; Estonian Research Council; PAPIIT UNAM; Institute of Nature Conservation (Polish Academy of Sciences); Portuguese Science Foundation (FCT); Flemish Interuniversity Council through the VLIR-UOS/UB Programme [1137327, 1702991]; Swedish Research Council; Swedish Research Council for Environment, Agricultural Sciences and Spatial Planning (FORMAS) [UIDB/00690/2020, UIDP/00690/2020, LA/P/0007/2020]; National Natural Science Foundation of China [PID2019-107424RB-I00]; IAI-CONICET [RYC2020-029829-I]; [FJC-2021-046415-I]; [PTDC/CTA-AMB/30793/2017]; [NE/R016429/1]; [965367]; [DP190101848]; [PRG 1266]; [PUT1598]; [IG200820]; [DL57/2016/ICETA/EEC2018/25]; [2020-03222]; [2020-01091]; [52279068]</t>
  </si>
  <si>
    <t>US NSF(National Science Foundation (NSF)); US NSF(National Science Foundation (NSF)); University of Milano-Bicocca (UNIMIB); Foundation for Science and Technology (FCT, Portugal) through national funds FCT/MCTES (PIDDAC); Project IMPACOM of Spanish Ministry of Science and Innovation; Ramon y Cajal - Spanish Ministry of Science and Innovation; Catedra EMALCSA-UDC; Juan de la Cierva(Instituto de Salud Carlos IIISpanish Government); Project FJC of the Spanish Ministry of Science and Innovation - Next Generation EU; Portuguese Science and Technology Foundation (FCT)(Fundacao para a Ciencia e a Tecnologia (FCT)); Natural Environment Research Council as part of UK-SCaPE programme delivering National Capability; European Union Horizon 2020 Research and Innovation 772 programme; Australian Research Council(Australian Research Council); Rhodes University; University Capacity Development Programme; Estonian Research Council(Estonian Research Council); PAPIIT UNAM(Programa de Apoyo a Proyectos de Investigacion e Innovacion Tecnologica (PAPIIT)Universidad Nacional Autonoma de Mexico); Institute of Nature Conservation (Polish Academy of Sciences); Portuguese Science Foundation (FCT)(Fundacao para a Ciencia e a Tecnologia (FCT)); Flemish Interuniversity Council through the VLIR-UOS/UB Programme; Swedish Research Council(Swedish Research Council); Swedish Research Council for Environment, Agricultural Sciences and Spatial Planning (FORMAS)(Swedish Research Council Formas); National Natural Science Foundation of China(National Natural Science Foundation of China (NSFC)); IAI-CONICET; ; ; ; ; ; ; ; ; ; ; ;</t>
  </si>
  <si>
    <t>This manuscript benefited from conversations at meetings of the Global Lake Ecological Observatory Network (GLEON; supported by funding from US NSF grants 1137327 and 1702991). This work was supported by the University of Milano-Bicocca (UNIMIB). Raman facilities were provided by the Department of Earth and Environmental Sciences (DISAT, UNIMIB) and the Interdepartmental Network of Spectroscopy (UNIMIB). We gratefully acknowledge G. Candian and E. Caprini for their assistance in the laboratory activities and data analysis. A.M.A.-G. acknowledges the Foundation for Science and Technology (FCT, Portugal) for financial support through national funds FCT/MCTES (PIDDAC) to CIMO (UIDB/00690/2020 and UIDP/00690/2020) and SusTEC (LA/P/0007/2020). R. Bao acknowledges support from Project IMPACOM (PID2019-107424RB-I00) of the Spanish Ministry of Science and Innovation. M.C.-A. was supported by a Ramon y Cajal contract financed by the Spanish Ministry of Science and Innovation (RYC2020-029829-I). M.C. acknowledges support from Catedra EMALCSA-UDC (industrial chair). R.C. was supported by a Juan de la Cierva contract and Project FJC (FJC-2021-046415-I) of the Spanish Ministry of Science and Innovation financed by the Next Generation EU. Z.E. and M.G.M. acknowledge support from the Portuguese Science and Technology Foundation (FCT) project no. PTDC/CTA-AMB/30793/2017 (AdaptAlentejo-Predicting ecosystem-level responses to climate change). H.F. acknowledges support from the Natural Environment Research Council award number NE/R016429/1 as part of the UK-SCaPE programme delivering National Capability.&amp; nbsp;H.-P.G. and S.P. were supported by the European Union Horizon 2020 Research and Innovation 772 programme under grant agreement number 965367 (PlasticsFatE). D.P.H. acknowledges support from the Australian Research Council (DP190101848). S.N.M. acknowledges support from Rhodes University and the University Capacity Development Programme. K.K. acknowledges support from grant PRG 1266 of the Estonian Research Council. S.N. and S.S.S.S. acknowledge support from PAPIIT UNAM IG200820.&amp; nbsp;A.P. acknowledges support from the Institute of Nature Conservation (Polish Academy of Sciences). P.R. acknowledges support from Portuguese Science Foundation (FCT) (DL57/2016/ICETA/EEC2018/25). E.-I.R. acknowledges support from grant PUT1598 of the Estonian Research Council. C.S. acknowledges support from the Flemish Interuniversity Council through the VLIR-UOS/UB Programme. G.A.W. acknowledges support from the Swedish Research Council (VR;&amp; nbsp;grant no. 2020-03222) and Swedish Research Council for Environment, Agricultural Sciences and Spatial Planning (FORMAS; grant no. 2020-01091). N.W. acknowledges support from the National Natural Science Foundation of China (grant no. 52279068). F.S. acknowledges support from an IAI-CONICET special grant.</t>
  </si>
  <si>
    <t>NATURE PORTFOLIO</t>
  </si>
  <si>
    <t>0028-0836</t>
  </si>
  <si>
    <t>1476-4687</t>
  </si>
  <si>
    <t>Nature</t>
  </si>
  <si>
    <t>M8CN9</t>
  </si>
  <si>
    <t>WOS:001032441500020</t>
  </si>
  <si>
    <t>Removal of microplastics in wastewater by ceramic microfiltration</t>
  </si>
  <si>
    <t>Microplastic (MP) pollution is a growing global concern affecting environmental water quality. Although primary and secondary treatment processes in conventional wastewater treatment plants (WWTPs) efficiently remove MPs, MPs &lt;20 &amp; mu;m across are not removed effectively. The quality of final effluent should be enhanced by applying a tertiary treatment for reducing MP discharge from WWTPs. This study evaluated the effectiveness of ceramic membranes for this. Removal of MPs was assessed at laboratory scale by cross-flow filtration of a secondary wastewater effluent. The activated sludge process at a wastewater treatment plant removed MPs at moderate to high rates (45 %-98 %), and the ceramic membranes further removed &gt;72 % of MPs. Although the activated sludge process removed variable rates of MPs, the total rates of removal by both processes was &gt;96 %. This result suggests that the ceramic MF membrane treatment will contribute to stable MP removal.</t>
  </si>
  <si>
    <t>10.1016/j.jwpe.2023.104010</t>
  </si>
  <si>
    <t>http://dx.doi.org/10.1016/j.jwpe.2023.104010</t>
  </si>
  <si>
    <t>Takeuchi, H; Tanaka, S; Koyuncu, CZ; Nakada, N</t>
  </si>
  <si>
    <t>Takeuchi, Haruka; Tanaka, Shuhei; Koyuncu, Ceyda Zeynep; Nakada, Norihide</t>
  </si>
  <si>
    <t>Ceramic membrane; Microplastic; Wastewater treatment</t>
  </si>
  <si>
    <t>POLLUTION; FATE</t>
  </si>
  <si>
    <t>[Takeuchi, Haruka; Nakada, Norihide] Kyoto Univ, Res Ctr Environm Qual Management, Otsu, Shiga 5200811, Japan; [Tanaka, Shuhei] Kyoto Univ, Grad Sch global Environm studies, Kyoto 6068317, Japan; [Koyuncu, Ceyda Zeynep] TUBITAK Marmara Res Ctr, Mat Technol, TR-41470 Kocaeli, Turkiye; [Nakada, Norihide] Kanagawa Univ, Fac Chem &amp; Biochem, Yokohama, Kanagawa 2218686, Japan</t>
  </si>
  <si>
    <t>Kyoto University; Kyoto University; Turkiye Bilimsel ve Teknolojik Arastirma Kurumu (TUBITAK); Kanagawa University</t>
  </si>
  <si>
    <t>Nakada, N (corresponding author), Kyoto Univ, Res Ctr Environm Qual Management, Otsu, Shiga 5200811, Japan.</t>
  </si>
  <si>
    <t>nakada@kanagawa-u.ac.jp</t>
  </si>
  <si>
    <t>JST SICORP, Japan [JPMJSC19C2]; TUEBITAK Project, Tuerkiye [119N015]</t>
  </si>
  <si>
    <t>JST SICORP, Japan; TUEBITAK Project, Tuerkiye</t>
  </si>
  <si>
    <t>This work was supported by JST SICORP Grant Number JPMJSC19C2, Japan and by TUEBITAK Project Number 119N015, Tuerkiye. We acknowledge thank Dr. Yasuhiro Kato (Metawater Co., Ltd.) for his advice on manufacturing the test equipment.</t>
  </si>
  <si>
    <t>N9XU6</t>
  </si>
  <si>
    <t>WOS:001040463300001</t>
  </si>
  <si>
    <t>Temporal trends in personal protective equipment (PPE) debris during the COVID-19 pandemic in canakkale (Turkey)</t>
  </si>
  <si>
    <t>This study examines trends in PPE (masks, gloves) and disinfecting wipes over three years of the pandemic. The densities of discarded masks, wet wipes, and gloves (personal protective equipment: PPE), were quantified on the streets of Canakkale, Turkey during similar time periods in 2020, 2021 and 2022. Geotagged images of PPE on the streets and sidewalks were documented with a smartphone, while the track of an observer was recorded using a fitness tracker app along a 7.777 km long survey route in the city center, parallel to the Dardanelles Strait. A total of 18 surveys were conducted over three years, and the survey route was subdivided into three zones based on utilization patterns: pedestrian zone, traffic zone and a recreational park zone. The combined densities of all types of PPE density were high in 2020, lower in 2021 and highest in 2022. The within year trend showed an increase over the three study years. The average density of gloves declined from an initially high level in 2020, when the SARS-CoV-2 virus was thought to be transmitted by contact, to near zero in 2021 and to zero in 2022. Densities of wipes were similar in 2020 and 2021 and higher in 2022. Masks were initially difficult to procure in 2020, and their densities progressively increased during that year reaching a plateau in 2021 with similar densities in 2022. PPE densities were significantly lower in the pedestrian route relative to the traffic and park routes, which were not different from each other. The partial curfews implemented by the Turkish government and the effects of prevention measures taken on the PPE concentration in the streets are discussed along with the importance of waste management practices.</t>
  </si>
  <si>
    <t>10.1016/j.scitotenv.2023.165377</t>
  </si>
  <si>
    <t>http://dx.doi.org/10.1016/j.scitotenv.2023.165377</t>
  </si>
  <si>
    <t>Aslan, H; Yilmaz, O; Benfield, MC; Becan, SA</t>
  </si>
  <si>
    <t>Aslan, Herdem; Yilmaz, Okan; Benfield, Mark C.; Becan, S. Ahmet</t>
  </si>
  <si>
    <t>Masks; Gloves; Wipes; Plastic pollution; Litter</t>
  </si>
  <si>
    <t>LITTER; SEA</t>
  </si>
  <si>
    <t>[Aslan, Herdem] Canakkale Onsekiz Mart Univ, Fac Sci, Dept Biol, Canakkale, Turkiye; [Yilmaz, Okan] Canakkale Onsekiz Mart Univ, Fac Architecture &amp; Design, Dept Landscape Architecture, Canakkale, Turkiye; [Benfield, Mark C.] Louisiana State Univ, Dept Oceanog &amp; Coastal Sci, Baton Rouge, LA 70803 USA; [Becan, S. Ahmet] Canakkale Onsekiz Mart Univ, Fac Agr, Canakkale, Turkiye</t>
  </si>
  <si>
    <t>Canakkale Onsekiz Mart University; Canakkale Onsekiz Mart University; Louisiana State University System; Louisiana State University; Canakkale Onsekiz Mart University</t>
  </si>
  <si>
    <t>Aslan, H (corresponding author), Canakkale Onsekiz Mart Univ, Fac Sci, Dept Biol, Canakkale, Turkiye.</t>
  </si>
  <si>
    <t>asherdem@comu.edu.tr</t>
  </si>
  <si>
    <t>ASLAN, HERDEM/0000-0002-0872-2919</t>
  </si>
  <si>
    <t>O9OL1</t>
  </si>
  <si>
    <t>WOS:001047038300001</t>
  </si>
  <si>
    <t>The hidden threat to food safety and human health: microplastics</t>
  </si>
  <si>
    <t>Plastic, which has become an indispensable part of our daily life due to its wide range of uses, is produced worldwide by millions of tons, and most of it accumulates in the ecosystem. Microplastics (MPs), which emerge as a result of their decomposition over time, are found almost everywhere we live. Some foods can also have high MP concentrations. Fish and shellfish living in the sea and oceans appear to be one of the most important ways of MPs uptake through the food chain. At the same time, table salt and drinking water pose a threat to food safety in terms of the presence of MPs. Unfortunately, increased exposure to MPs can also bring health problems. For example, respiratory diseases, reproductive problems, change of microbiota, neurotoxicity, and even cancer are just a few of them. Therefore, this danger should be recognized and necessary precautions should be taken. Even small steps are needed in this area. It is extremely important for people to increase their awareness of this issue and for countries to prevent this threat with various policies. This review was written to explain how MPs threaten food safety and human health.{GRAPHIACAL ABSTRACT}</t>
  </si>
  <si>
    <t>10.1007/s10668-023-03565-7</t>
  </si>
  <si>
    <t>http://dx.doi.org/10.1007/s10668-023-03565-7</t>
  </si>
  <si>
    <t>Daziroglu, MEC; Bilici, S</t>
  </si>
  <si>
    <t>Daziroglu, Merve Esra Citar; Bilici, Saniye</t>
  </si>
  <si>
    <t>Microplastic; Plastic residues in food; Sea products; Diseases</t>
  </si>
  <si>
    <t>MICROBIOTA DYSBIOSIS; GUT MICROBIOTA; AIR-POLLUTION; TABLE SALTS; CONTAMINATION; NANOPLASTICS; PARTICLES; EXPOSURE; FISH; NANOPARTICLES</t>
  </si>
  <si>
    <t>[Daziroglu, Merve Esra Citar; Bilici, Saniye] Gazi Univ, Fac Hlth Sci, Dept Nutr &amp; Dietet, Emek, Ankara, Turkiye</t>
  </si>
  <si>
    <t>Daziroglu, MEC (corresponding author), Gazi Univ, Fac Hlth Sci, Dept Nutr &amp; Dietet, Emek, Ankara, Turkiye.</t>
  </si>
  <si>
    <t>esracitar@gmail.com; sgbilici@gazi.edu.tr</t>
  </si>
  <si>
    <t>M5QQ2</t>
  </si>
  <si>
    <t>WOS:001030766100001</t>
  </si>
  <si>
    <t>The relationship between structural evolution and high energy ball milling duration in tin reinforced Mg alloys</t>
  </si>
  <si>
    <t>In this study, 9 wt% Sn reinforced Mg alloys are produced by high energy ball milling and conventional sintering method. Effect of ball milling time (30 min, 2 h, 4 h, 8 h, and 12 h) on particle and grain morphology is detected by SEM examination. Phase evolution and solid solution mechanism is monitored by XRD analysis. Sintering process is carried out at 400 degrees C with 2 h sintering duration under Ar atmosphere. Platelet structure in powder morphology is observed up to 4 h ball milling, which is linked with the texture formation on &lt; 002 &gt; direction in hexagonal structure of Mg. This platelet formation is broken into smaller and monodispersed particle morphology with further milling process due to excessive plastic deformation which eventually provide homogenous dispersion of reinforcement element. Furthermore, ball milling process after 4 h triggers solid solution along with formation of intermetallic phase (Mg2Sn) according to crystallographic approach. The highest relative density values is measured in 8 h milling duration. Besides, the highest hardness value is achieved along with proper distribution of reinforcement element in 8 h condition. The hardness values is increased almost 85% comparing with pure ball milled Mg and 74% increment comparing with as cast Mg. The highest elastic modulus values is measured at 8 h milling condition by ultrasound method and this value is found in reasonable range. By introducing 12 h ball milling process, density, hardness and elastic modulus properties of 9 wt% Sn-Mg alloy is diminished because excessive amount of intermetallic phase formation on grain and grain boundaries. Therefore, 8 h high energy ball milling process is chosen the most suitable condition for this materials system to obtain proper powder packing and sinterability along with superior physical and mechanical properties.</t>
  </si>
  <si>
    <t>10.1016/j.mtcomm.2023.105868</t>
  </si>
  <si>
    <t>http://dx.doi.org/10.1016/j.mtcomm.2023.105868</t>
  </si>
  <si>
    <t>Subutay, H; Savkliyildiz, I</t>
  </si>
  <si>
    <t>Subutay, Halit; Savkliyildiz, Ilyas</t>
  </si>
  <si>
    <t>MATERIALS TODAY COMMUNICATIONS</t>
  </si>
  <si>
    <t>Mg alloy; Mechanical alloying; Powder metallurgy; Platelet structure</t>
  </si>
  <si>
    <t>MECHANICAL-PROPERTIES; SN ADDITION; CORROSION BEHAVIOR; MICROSTRUCTURE; MAGNESIUM; VELOCITY; CA</t>
  </si>
  <si>
    <t>[Subutay, Halit] Selcuk Univ, Dept Met &amp; Mat Engn, TR-42075 Konya, Turkiye; [Savkliyildiz, Ilyas] Konya Tech Univ, Dept Met &amp; Mat Engn, TR-42075 Konya, Turkiye</t>
  </si>
  <si>
    <t>Selcuk University; Konya Technical University</t>
  </si>
  <si>
    <t>Savkliyildiz, I (corresponding author), Konya Tech Univ, Dept Met &amp; Mat Engn, TR-42075 Konya, Turkiye.</t>
  </si>
  <si>
    <t>isavkliyildiz@ktun.edu.tr</t>
  </si>
  <si>
    <t>Sübütay, halit/ABJ-8485-2022</t>
  </si>
  <si>
    <t>Sübütay, halit/0000-0002-1027-3016</t>
  </si>
  <si>
    <t>Scientific Research Projects Coordination Unit (SRPCU) of Seluk University [18401032]; Scientific Research Projects at Konya Technical University [191019035]</t>
  </si>
  <si>
    <t>Scientific Research Projects Coordination Unit (SRPCU) of Seluk University; Scientific Research Projects at Konya Technical University</t>
  </si>
  <si>
    <t>The financial support provided to this study by the Scientific Research Projects Coordination Unit (SRPCU) of Selcuk University through contract# 18401032, and the Scientific Research Projects at Konya Technical University through contract# 191019035.</t>
  </si>
  <si>
    <t>2352-4928</t>
  </si>
  <si>
    <t>MATER TODAY COMMUN</t>
  </si>
  <si>
    <t>Mater. Today Commun.</t>
  </si>
  <si>
    <t>N9ZL4</t>
  </si>
  <si>
    <t>WOS:001040506200001</t>
  </si>
  <si>
    <t>To what extent are orally ingested nanoplastics toxic to the hippocampus in young adult rats?</t>
  </si>
  <si>
    <t>As the use of plastic-containing materials in our daily lives becomes increasingly common, exposure to nano -plastics accordingly becomes inevitable. Micro and nanoplastics released from large amounts of plastic waste constitute a serious environmental problem. Therefore, this study aimed to examine the effects of polystyrene nanoplastic (PS-NP) on the hippocampus.Material and method: Thirty Wistar albino rats, 15 male and 15 female, aged 6-8 weeks, were used in the research. These were randomly divided into three groups of five males and five females each. A five-minute open field test was applied to all rats on the first and last days of the study. Three groups of rats (Control, NP1 and NP2) received the standard chow and water. Additionally, rats in the first neoplastic group (NP1) received 25 mg/kg PS-NP and rats in the second nanoplastic group (NP2) received 50 mg/kg PS-NP, at the same time each day by oral gavage. The rats were sacrificed under deep anesthesia at the end of four weeks. The hippocampi were removed and subjected to histopathological and biochemical analyses.Results: Green fluorescent dots were detected in the hippocampi of both dose groups receiving nanoplastics (NPs) administered orally to female and male rats. Histopathological examination revealed neuronal degeneration in the hippocampi of male and female rats from both dose groups. However, while no significant difference was observed among the groups in terms of changes in antioxidant enzyme values and open-field test data in male rats, significant differences in peroxidase (POD) and glutathione S-transferase (GST) values and fecal boli and grooming numbers were determined in female rats exposed to NPs. In conclusion, exposure to NP substances extend as far as the hippocampus, causing neuronal damage and behavioral problems.</t>
  </si>
  <si>
    <t>10.1016/j.jchemneu.2023.102314</t>
  </si>
  <si>
    <t>http://dx.doi.org/10.1016/j.jchemneu.2023.102314</t>
  </si>
  <si>
    <t>Bas, O; Ilhan, H; Hanci, H; Celikkand, H; Ekinci, D; Degermenci, M; Karapinar, BO; Warille, AA; Cankaya, S; Ozkasapoglu, S</t>
  </si>
  <si>
    <t>Bas, Orhan; Ilhan, Hasan; Hanci, Hatice; Celikkand, Hueseyin; Ekinci, Deniz; Degermenci, Muhammet; Karapinar, Burak Oguzhan; Warille, Aymen A.; Cankaya, Soner; Ozkasapoglu, Sezgin</t>
  </si>
  <si>
    <t>JOURNAL OF CHEMICAL NEUROANATOMY</t>
  </si>
  <si>
    <t>Nanoplastics; Neurotoxicity; Hippocampus; Open field test; Oxidative stress</t>
  </si>
  <si>
    <t>MILD STRESS; PEROXIDASE; BEHAVIOR</t>
  </si>
  <si>
    <t>[Bas, Orhan] Samsun Univ, Fac Med, Dept Anat, Samsun, Turkiye; [Ilhan, Hasan] Ordu Univ, Fac Sci, Dept Chem, Ordu, Turkiye; [Hanci, Hatice] Ordu Univ, Fac Med, Dept Histol &amp; Embryol, Ordu, Turkiye; [Celikkand, Hueseyin] Gazi Univ, Fac Sci, Dept Chem, Ankara, Turkiye; [Ekinci, Deniz] Ondokuz Mayis Univ, Fac Agr, Dept Agr Biotechnol, Samsun, Turkiye; [Degermenci, Muhammet] Ordu Univ, Fac Med, Dept Anat, Ordu, Turkiye; [Karapinar, Burak Oguzhan] Ondokuz Mayis Univ, Vocat Sch Hlth Serv, Dept Med Serv &amp; Tech, Samsun, Turkiye; [Warille, Aymen A.] Ondokuz Mayis Univ, Fac Med, Dept Anat, Samsun, Turkiye; [Cankaya, Soner] Ondokuz Mayis Univ, Fac Sport Sci, Dept Sports Management, Samsun, Turkiye; [Ozkasapoglu, Sezgin] Turkish Energy Nucl &amp; Mineral Res Agcy Boron Res I, Ankara, Turkiye</t>
  </si>
  <si>
    <t>Ondokuz Mayis University; Ordu University; Ordu University; Gazi University; Ondokuz Mayis University; Ordu University; Ondokuz Mayis University; Ondokuz Mayis University; Ondokuz Mayis University</t>
  </si>
  <si>
    <t>Bas, O (corresponding author), Samsun Univ, Fac Med, Dept Anat, Samsun, Turkiye.</t>
  </si>
  <si>
    <t>orhanbas55@hotmail.com</t>
  </si>
  <si>
    <t>0891-0618</t>
  </si>
  <si>
    <t>1873-6300</t>
  </si>
  <si>
    <t>J CHEM NEUROANAT</t>
  </si>
  <si>
    <t>J. Chem. Neuroanat.</t>
  </si>
  <si>
    <t>Biochemistry &amp; Molecular Biology; Neurosciences</t>
  </si>
  <si>
    <t>Biochemistry &amp; Molecular Biology; Neurosciences &amp; Neurology</t>
  </si>
  <si>
    <t>P2CD7</t>
  </si>
  <si>
    <t>WOS:001048762700001</t>
  </si>
  <si>
    <t>#ERROR!</t>
  </si>
  <si>
    <t>TRJFAS24773</t>
  </si>
  <si>
    <t xml:space="preserve">S U P P L E M E N T A R Y   M A T E R I A L S </t>
  </si>
  <si>
    <t>Supplementary Table 1</t>
  </si>
  <si>
    <r>
      <t xml:space="preserve">Turk. J. Fish.&amp; Aquat. Sci. 23(12)
</t>
    </r>
    <r>
      <rPr>
        <i/>
        <sz val="12"/>
        <color rgb="FF000000"/>
        <rFont val="Calibri"/>
        <family val="2"/>
        <charset val="162"/>
      </rPr>
      <t>https://doi.org/10.4194/TRJFAS24473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</si>
</sst>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yyyy\-mm\-dd"/>
    <numFmt numFmtId="165" formatCode="mmm\ yyyy"/>
    <numFmt numFmtId="166" formatCode="mmm\ d"/>
    <numFmt numFmtId="167" formatCode="yyyy\ mmm\ d"/>
  </numFmts>
  <fonts count="12" x14ac:knownFonts="1">
    <font>
      <sz val="10"/>
      <color rgb="FF000000"/>
      <name val="Arial"/>
      <scheme val="minor"/>
    </font>
    <font>
      <sz val="10"/>
      <color theme="1"/>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sz val="10"/>
      <color theme="1"/>
      <name val="Arial"/>
      <family val="2"/>
      <scheme val="minor"/>
    </font>
    <font>
      <i/>
      <sz val="12"/>
      <color rgb="FF000000"/>
      <name val="Calibri"/>
      <family val="2"/>
      <charset val="162"/>
    </font>
    <font>
      <b/>
      <sz val="14"/>
      <color rgb="FF000000"/>
      <name val="Calibri"/>
      <family val="2"/>
      <charset val="162"/>
    </font>
    <font>
      <i/>
      <sz val="16"/>
      <color rgb="FF000000"/>
      <name val="Calibri"/>
      <family val="2"/>
      <charset val="162"/>
    </font>
  </fonts>
  <fills count="2">
    <fill>
      <patternFill patternType="none"/>
    </fill>
    <fill>
      <patternFill patternType="gray125"/>
    </fill>
  </fills>
  <borders count="1">
    <border>
      <left/>
      <right/>
      <top/>
      <bottom/>
      <diagonal/>
    </border>
  </borders>
  <cellStyleXfs count="1">
    <xf numFmtId="0" fontId="0" fillId="0" borderId="0"/>
  </cellStyleXfs>
  <cellXfs count="31">
    <xf numFmtId="0" fontId="0" fillId="0" borderId="0" xfId="0"/>
    <xf numFmtId="0" fontId="1" fillId="0" borderId="0" xfId="0" applyFont="1" applyAlignment="1">
      <alignment vertical="center"/>
    </xf>
    <xf numFmtId="0" fontId="1" fillId="0" borderId="0" xfId="0" applyFont="1"/>
    <xf numFmtId="0" fontId="2" fillId="0" borderId="0" xfId="0" applyFont="1"/>
    <xf numFmtId="0" fontId="1" fillId="0" borderId="0" xfId="0" applyFont="1" applyAlignment="1">
      <alignment horizontal="right"/>
    </xf>
    <xf numFmtId="0" fontId="3" fillId="0" borderId="0" xfId="0" applyFont="1"/>
    <xf numFmtId="164" fontId="1" fillId="0" borderId="0" xfId="0" applyNumberFormat="1" applyFont="1"/>
    <xf numFmtId="165" fontId="1" fillId="0" borderId="0" xfId="0" applyNumberFormat="1" applyFont="1"/>
    <xf numFmtId="0" fontId="1" fillId="0" borderId="0" xfId="0" applyFont="1" applyFill="1" applyAlignment="1">
      <alignment vertical="center"/>
    </xf>
    <xf numFmtId="0" fontId="1" fillId="0" borderId="0" xfId="0" applyFont="1" applyFill="1"/>
    <xf numFmtId="0" fontId="0" fillId="0" borderId="0" xfId="0" applyFill="1"/>
    <xf numFmtId="0" fontId="2" fillId="0" borderId="0" xfId="0" applyFont="1" applyFill="1"/>
    <xf numFmtId="0" fontId="1" fillId="0" borderId="0" xfId="0" applyFont="1" applyFill="1" applyAlignment="1">
      <alignment horizontal="right"/>
    </xf>
    <xf numFmtId="0" fontId="3" fillId="0" borderId="0" xfId="0" applyFont="1" applyFill="1"/>
    <xf numFmtId="165" fontId="1" fillId="0" borderId="0" xfId="0" applyNumberFormat="1" applyFont="1" applyFill="1"/>
    <xf numFmtId="164" fontId="1" fillId="0" borderId="0" xfId="0" applyNumberFormat="1" applyFont="1" applyFill="1"/>
    <xf numFmtId="0" fontId="5" fillId="0" borderId="0" xfId="0" applyFont="1" applyFill="1"/>
    <xf numFmtId="166" fontId="1" fillId="0" borderId="0" xfId="0" applyNumberFormat="1" applyFont="1" applyFill="1"/>
    <xf numFmtId="0" fontId="1" fillId="0" borderId="0" xfId="0" applyFont="1" applyFill="1" applyAlignment="1">
      <alignment vertical="center" wrapText="1"/>
    </xf>
    <xf numFmtId="0" fontId="1" fillId="0" borderId="0" xfId="0" applyFont="1" applyFill="1" applyAlignment="1">
      <alignment wrapText="1"/>
    </xf>
    <xf numFmtId="0" fontId="7" fillId="0" borderId="0" xfId="0" applyFont="1" applyFill="1"/>
    <xf numFmtId="0" fontId="8" fillId="0" borderId="0" xfId="0" applyFont="1" applyFill="1" applyAlignment="1">
      <alignment vertical="center" wrapText="1"/>
    </xf>
    <xf numFmtId="0" fontId="8" fillId="0" borderId="0" xfId="0" applyFont="1" applyFill="1" applyAlignment="1">
      <alignment vertical="center"/>
    </xf>
    <xf numFmtId="0" fontId="8" fillId="0" borderId="0" xfId="0" applyFont="1" applyFill="1" applyAlignment="1">
      <alignment wrapText="1"/>
    </xf>
    <xf numFmtId="0" fontId="8" fillId="0" borderId="0" xfId="0" applyFont="1" applyFill="1"/>
    <xf numFmtId="0" fontId="4" fillId="0" borderId="0" xfId="0" applyFont="1" applyFill="1"/>
    <xf numFmtId="0" fontId="6" fillId="0" borderId="0" xfId="0" applyFont="1" applyFill="1"/>
    <xf numFmtId="167" fontId="1" fillId="0" borderId="0" xfId="0" applyNumberFormat="1" applyFont="1" applyFill="1"/>
    <xf numFmtId="0" fontId="10" fillId="0" borderId="0" xfId="0" applyFont="1"/>
    <xf numFmtId="0" fontId="11" fillId="0" borderId="0" xfId="0" applyFont="1" applyAlignment="1">
      <alignment horizontal="left" wrapText="1"/>
    </xf>
    <xf numFmtId="0" fontId="1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52915</xdr:colOff>
      <xdr:row>1</xdr:row>
      <xdr:rowOff>254001</xdr:rowOff>
    </xdr:from>
    <xdr:to>
      <xdr:col>3</xdr:col>
      <xdr:colOff>1230205</xdr:colOff>
      <xdr:row>2</xdr:row>
      <xdr:rowOff>197909</xdr:rowOff>
    </xdr:to>
    <xdr:pic>
      <xdr:nvPicPr>
        <xdr:cNvPr id="2" name="Resim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44582" y="836084"/>
          <a:ext cx="1177290" cy="377825"/>
        </a:xfrm>
        <a:prstGeom prst="rect">
          <a:avLst/>
        </a:prstGeom>
        <a:noFill/>
      </xdr:spPr>
    </xdr:pic>
    <xdr:clientData/>
  </xdr:twoCellAnchor>
  <xdr:twoCellAnchor editAs="oneCell">
    <xdr:from>
      <xdr:col>3</xdr:col>
      <xdr:colOff>1300978</xdr:colOff>
      <xdr:row>1</xdr:row>
      <xdr:rowOff>126998</xdr:rowOff>
    </xdr:from>
    <xdr:to>
      <xdr:col>3</xdr:col>
      <xdr:colOff>3625216</xdr:colOff>
      <xdr:row>2</xdr:row>
      <xdr:rowOff>337394</xdr:rowOff>
    </xdr:to>
    <xdr:pic>
      <xdr:nvPicPr>
        <xdr:cNvPr id="3" name="Resim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2645" y="709081"/>
          <a:ext cx="2324238" cy="644313"/>
        </a:xfrm>
        <a:prstGeom prst="rect">
          <a:avLst/>
        </a:prstGeom>
        <a:noFill/>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x.doi.org/10.1016/j.scitotenv.2023.164682" TargetMode="External"/><Relationship Id="rId13" Type="http://schemas.openxmlformats.org/officeDocument/2006/relationships/hyperlink" Target="http://dx.doi.org/10.1016/j.envres.2023.116500" TargetMode="External"/><Relationship Id="rId18" Type="http://schemas.openxmlformats.org/officeDocument/2006/relationships/hyperlink" Target="http://dx.doi.org/10.1007/s10668-023-03565-7" TargetMode="External"/><Relationship Id="rId3" Type="http://schemas.openxmlformats.org/officeDocument/2006/relationships/hyperlink" Target="http://dx.doi.org/10.1016/j.micron.2023.103506" TargetMode="External"/><Relationship Id="rId21" Type="http://schemas.openxmlformats.org/officeDocument/2006/relationships/printerSettings" Target="../printerSettings/printerSettings1.bin"/><Relationship Id="rId7" Type="http://schemas.openxmlformats.org/officeDocument/2006/relationships/hyperlink" Target="http://dx.doi.org/10.1016/j.scitotenv.2023.163508" TargetMode="External"/><Relationship Id="rId12" Type="http://schemas.openxmlformats.org/officeDocument/2006/relationships/hyperlink" Target="http://dx.doi.org/10.1016/j.etap.2022.104059" TargetMode="External"/><Relationship Id="rId17" Type="http://schemas.openxmlformats.org/officeDocument/2006/relationships/hyperlink" Target="http://dx.doi.org/10.1016/j.scitotenv.2023.165377" TargetMode="External"/><Relationship Id="rId2" Type="http://schemas.openxmlformats.org/officeDocument/2006/relationships/hyperlink" Target="http://dx.doi.org/10.1016/j.marpolbul.2023.115281" TargetMode="External"/><Relationship Id="rId16" Type="http://schemas.openxmlformats.org/officeDocument/2006/relationships/hyperlink" Target="http://dx.doi.org/10.1016/j.jwpe.2023.104010" TargetMode="External"/><Relationship Id="rId20" Type="http://schemas.openxmlformats.org/officeDocument/2006/relationships/hyperlink" Target="http://dx.doi.org/10.1016/j.jchemneu.2023.102314" TargetMode="External"/><Relationship Id="rId1" Type="http://schemas.openxmlformats.org/officeDocument/2006/relationships/hyperlink" Target="http://dx.doi.org/10.1109/JSTARS.2023.3294830" TargetMode="External"/><Relationship Id="rId6" Type="http://schemas.openxmlformats.org/officeDocument/2006/relationships/hyperlink" Target="http://dx.doi.org/10.3390/su15086811" TargetMode="External"/><Relationship Id="rId11" Type="http://schemas.openxmlformats.org/officeDocument/2006/relationships/hyperlink" Target="http://dx.doi.org/10.1016/j.marpolbul.2023.115329" TargetMode="External"/><Relationship Id="rId5" Type="http://schemas.openxmlformats.org/officeDocument/2006/relationships/hyperlink" Target="http://dx.doi.org/10.1016/j.marpolbul.2023.114895" TargetMode="External"/><Relationship Id="rId15" Type="http://schemas.openxmlformats.org/officeDocument/2006/relationships/hyperlink" Target="http://dx.doi.org/10.1038/s41586-023-06168-4" TargetMode="External"/><Relationship Id="rId10" Type="http://schemas.openxmlformats.org/officeDocument/2006/relationships/hyperlink" Target="http://dx.doi.org/10.1016/j.enconman.2023.117312" TargetMode="External"/><Relationship Id="rId19" Type="http://schemas.openxmlformats.org/officeDocument/2006/relationships/hyperlink" Target="http://dx.doi.org/10.1016/j.mtcomm.2023.105868" TargetMode="External"/><Relationship Id="rId4" Type="http://schemas.openxmlformats.org/officeDocument/2006/relationships/hyperlink" Target="http://dx.doi.org/10.26881/oahs-2023.2.05" TargetMode="External"/><Relationship Id="rId9" Type="http://schemas.openxmlformats.org/officeDocument/2006/relationships/hyperlink" Target="http://dx.doi.org/10.1109/JSEN.2023.3250401" TargetMode="External"/><Relationship Id="rId14" Type="http://schemas.openxmlformats.org/officeDocument/2006/relationships/hyperlink" Target="http://dx.doi.org/10.1098/rsos.230586" TargetMode="External"/><Relationship Id="rId2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I991"/>
  <sheetViews>
    <sheetView tabSelected="1" zoomScale="90" zoomScaleNormal="90" workbookViewId="0">
      <pane ySplit="4" topLeftCell="A260" activePane="bottomLeft" state="frozen"/>
      <selection pane="bottomLeft" activeCell="G2" sqref="G2"/>
    </sheetView>
  </sheetViews>
  <sheetFormatPr defaultColWidth="12.7109375" defaultRowHeight="15.75" customHeight="1" x14ac:dyDescent="0.2"/>
  <cols>
    <col min="1" max="1" width="7.85546875" style="10" customWidth="1"/>
    <col min="2" max="2" width="12.7109375" style="10"/>
    <col min="3" max="3" width="58.7109375" style="10" customWidth="1"/>
    <col min="4" max="4" width="54.7109375" style="10" customWidth="1"/>
    <col min="5" max="16384" width="12.7109375" style="10"/>
  </cols>
  <sheetData>
    <row r="1" spans="1:61" ht="45.75" customHeight="1" x14ac:dyDescent="0.35">
      <c r="B1" s="29" t="s">
        <v>10843</v>
      </c>
      <c r="C1" s="29"/>
      <c r="D1" s="30" t="s">
        <v>10840</v>
      </c>
    </row>
    <row r="2" spans="1:61" ht="33.75" customHeight="1" x14ac:dyDescent="0.3">
      <c r="B2" s="28" t="s">
        <v>10841</v>
      </c>
    </row>
    <row r="3" spans="1:61" ht="46.5" customHeight="1" x14ac:dyDescent="0.3">
      <c r="B3" s="28" t="s">
        <v>10842</v>
      </c>
    </row>
    <row r="4" spans="1:61" ht="12.75" x14ac:dyDescent="0.2">
      <c r="A4" s="8" t="s">
        <v>0</v>
      </c>
      <c r="B4" s="8" t="s">
        <v>1</v>
      </c>
      <c r="C4" s="8" t="s">
        <v>2</v>
      </c>
      <c r="D4" s="9" t="s">
        <v>3</v>
      </c>
      <c r="E4" s="9" t="s">
        <v>4</v>
      </c>
      <c r="F4" s="9" t="s">
        <v>5</v>
      </c>
      <c r="G4" s="9" t="s">
        <v>6</v>
      </c>
      <c r="H4" s="9" t="s">
        <v>7</v>
      </c>
      <c r="I4" s="9" t="s">
        <v>8</v>
      </c>
      <c r="J4" s="9" t="s">
        <v>9</v>
      </c>
      <c r="K4" s="9" t="s">
        <v>10</v>
      </c>
      <c r="L4" s="9" t="s">
        <v>11</v>
      </c>
      <c r="M4" s="9" t="s">
        <v>12</v>
      </c>
      <c r="N4" s="9" t="s">
        <v>13</v>
      </c>
      <c r="O4" s="9" t="s">
        <v>14</v>
      </c>
      <c r="P4" s="9" t="s">
        <v>15</v>
      </c>
      <c r="Q4" s="9" t="s">
        <v>16</v>
      </c>
      <c r="R4" s="9" t="s">
        <v>17</v>
      </c>
      <c r="S4" s="9" t="s">
        <v>18</v>
      </c>
      <c r="T4" s="9" t="s">
        <v>19</v>
      </c>
      <c r="U4" s="9" t="s">
        <v>20</v>
      </c>
      <c r="V4" s="9" t="s">
        <v>21</v>
      </c>
      <c r="W4" s="9" t="s">
        <v>22</v>
      </c>
      <c r="X4" s="9" t="s">
        <v>23</v>
      </c>
      <c r="Y4" s="9" t="s">
        <v>24</v>
      </c>
      <c r="Z4" s="9" t="s">
        <v>25</v>
      </c>
      <c r="AA4" s="9" t="s">
        <v>26</v>
      </c>
      <c r="AB4" s="9" t="s">
        <v>27</v>
      </c>
      <c r="AC4" s="9" t="s">
        <v>28</v>
      </c>
      <c r="AD4" s="9" t="s">
        <v>29</v>
      </c>
      <c r="AE4" s="9" t="s">
        <v>30</v>
      </c>
      <c r="AF4" s="9" t="s">
        <v>31</v>
      </c>
      <c r="AG4" s="9" t="s">
        <v>32</v>
      </c>
      <c r="AH4" s="9" t="s">
        <v>33</v>
      </c>
      <c r="AI4" s="9" t="s">
        <v>34</v>
      </c>
      <c r="AJ4" s="9" t="s">
        <v>35</v>
      </c>
      <c r="AK4" s="9" t="s">
        <v>36</v>
      </c>
      <c r="AL4" s="9" t="s">
        <v>37</v>
      </c>
      <c r="AM4" s="9" t="s">
        <v>38</v>
      </c>
      <c r="AN4" s="9" t="s">
        <v>39</v>
      </c>
      <c r="AO4" s="9" t="s">
        <v>40</v>
      </c>
      <c r="AP4" s="9" t="s">
        <v>41</v>
      </c>
      <c r="AQ4" s="9" t="s">
        <v>42</v>
      </c>
      <c r="AR4" s="9" t="s">
        <v>43</v>
      </c>
      <c r="AS4" s="9" t="s">
        <v>44</v>
      </c>
      <c r="AT4" s="9" t="s">
        <v>45</v>
      </c>
      <c r="AU4" s="9" t="s">
        <v>46</v>
      </c>
      <c r="AV4" s="9" t="s">
        <v>47</v>
      </c>
      <c r="AW4" s="9" t="s">
        <v>48</v>
      </c>
      <c r="AX4" s="9" t="s">
        <v>49</v>
      </c>
      <c r="AY4" s="9" t="s">
        <v>50</v>
      </c>
      <c r="AZ4" s="9" t="s">
        <v>51</v>
      </c>
      <c r="BA4" s="9" t="s">
        <v>52</v>
      </c>
      <c r="BB4" s="9" t="s">
        <v>53</v>
      </c>
      <c r="BC4" s="9" t="s">
        <v>54</v>
      </c>
      <c r="BD4" s="9" t="s">
        <v>55</v>
      </c>
      <c r="BE4" s="9" t="s">
        <v>56</v>
      </c>
      <c r="BF4" s="9" t="s">
        <v>57</v>
      </c>
      <c r="BG4" s="9" t="s">
        <v>58</v>
      </c>
      <c r="BH4" s="9" t="s">
        <v>59</v>
      </c>
      <c r="BI4" s="9" t="s">
        <v>60</v>
      </c>
    </row>
    <row r="5" spans="1:61" customFormat="1" ht="12.75" x14ac:dyDescent="0.2">
      <c r="A5" s="1">
        <v>1</v>
      </c>
      <c r="B5" s="1" t="s">
        <v>61</v>
      </c>
      <c r="C5" s="1" t="s">
        <v>62</v>
      </c>
      <c r="D5" s="2" t="s">
        <v>63</v>
      </c>
      <c r="E5" s="2" t="s">
        <v>64</v>
      </c>
      <c r="F5" s="3" t="str">
        <f>HYPERLINK("http://dx.doi.org/10.1007/s11356-021-17648-3","http://dx.doi.org/10.1007/s11356-021-17648-3")</f>
        <v>http://dx.doi.org/10.1007/s11356-021-17648-3</v>
      </c>
      <c r="G5" s="2" t="s">
        <v>61</v>
      </c>
      <c r="H5" s="2" t="s">
        <v>65</v>
      </c>
      <c r="I5" s="2" t="s">
        <v>66</v>
      </c>
      <c r="J5" s="2" t="s">
        <v>67</v>
      </c>
      <c r="K5" s="2" t="s">
        <v>68</v>
      </c>
      <c r="L5" s="2" t="s">
        <v>69</v>
      </c>
      <c r="M5" s="2" t="s">
        <v>70</v>
      </c>
      <c r="N5" s="2" t="s">
        <v>71</v>
      </c>
      <c r="O5" s="2" t="s">
        <v>72</v>
      </c>
      <c r="P5" s="2" t="s">
        <v>73</v>
      </c>
      <c r="Q5" s="2" t="s">
        <v>74</v>
      </c>
      <c r="R5" s="2" t="s">
        <v>75</v>
      </c>
      <c r="S5" s="2" t="s">
        <v>76</v>
      </c>
      <c r="T5" s="2" t="s">
        <v>77</v>
      </c>
      <c r="U5" s="2" t="s">
        <v>78</v>
      </c>
      <c r="V5" s="2" t="s">
        <v>79</v>
      </c>
      <c r="W5" s="2" t="s">
        <v>80</v>
      </c>
      <c r="X5" s="4">
        <v>137</v>
      </c>
      <c r="Y5" s="4">
        <v>9</v>
      </c>
      <c r="Z5" s="4">
        <v>9</v>
      </c>
      <c r="AA5" s="4">
        <v>7</v>
      </c>
      <c r="AB5" s="4">
        <v>92</v>
      </c>
      <c r="AC5" s="2" t="s">
        <v>81</v>
      </c>
      <c r="AD5" s="2" t="s">
        <v>82</v>
      </c>
      <c r="AE5" s="2" t="s">
        <v>83</v>
      </c>
      <c r="AF5" s="2" t="s">
        <v>84</v>
      </c>
      <c r="AG5" s="2" t="s">
        <v>85</v>
      </c>
      <c r="AH5" s="2" t="s">
        <v>86</v>
      </c>
      <c r="AI5" s="2" t="s">
        <v>87</v>
      </c>
      <c r="AJ5" s="2" t="s">
        <v>88</v>
      </c>
      <c r="AK5" s="2" t="s">
        <v>89</v>
      </c>
      <c r="AL5" s="4">
        <v>2022</v>
      </c>
      <c r="AM5" s="4">
        <v>29</v>
      </c>
      <c r="AN5" s="4">
        <v>18</v>
      </c>
      <c r="AO5" s="2" t="s">
        <v>86</v>
      </c>
      <c r="AP5" s="2" t="s">
        <v>86</v>
      </c>
      <c r="AQ5" s="2" t="s">
        <v>86</v>
      </c>
      <c r="AR5" s="2" t="s">
        <v>86</v>
      </c>
      <c r="AS5" s="4">
        <v>26230</v>
      </c>
      <c r="AT5" s="4">
        <v>26249</v>
      </c>
      <c r="AU5" s="2" t="s">
        <v>86</v>
      </c>
      <c r="AV5" s="2" t="s">
        <v>86</v>
      </c>
      <c r="AW5" s="2" t="s">
        <v>90</v>
      </c>
      <c r="AX5" s="4">
        <v>20</v>
      </c>
      <c r="AY5" s="2" t="s">
        <v>91</v>
      </c>
      <c r="AZ5" s="2" t="s">
        <v>92</v>
      </c>
      <c r="BA5" s="2" t="s">
        <v>93</v>
      </c>
      <c r="BB5" s="2" t="s">
        <v>94</v>
      </c>
      <c r="BC5" s="4">
        <v>34853999</v>
      </c>
      <c r="BD5" s="2" t="s">
        <v>86</v>
      </c>
      <c r="BE5" s="2" t="s">
        <v>86</v>
      </c>
      <c r="BF5" s="2" t="s">
        <v>86</v>
      </c>
      <c r="BG5" s="2" t="s">
        <v>95</v>
      </c>
      <c r="BH5" s="2" t="s">
        <v>96</v>
      </c>
      <c r="BI5" s="2" t="str">
        <f>HYPERLINK("https%3A%2F%2Fwww.webofscience.com%2Fwos%2Fwoscc%2Ffull-record%2FWOS:000724663500014","View Full Record in Web of Science")</f>
        <v>View Full Record in Web of Science</v>
      </c>
    </row>
    <row r="6" spans="1:61" customFormat="1" ht="12.75" x14ac:dyDescent="0.2">
      <c r="A6" s="1">
        <v>2</v>
      </c>
      <c r="B6" s="1" t="s">
        <v>61</v>
      </c>
      <c r="C6" s="1" t="s">
        <v>97</v>
      </c>
      <c r="D6" s="2" t="s">
        <v>98</v>
      </c>
      <c r="E6" s="2" t="s">
        <v>99</v>
      </c>
      <c r="F6" s="3" t="str">
        <f>HYPERLINK("http://dx.doi.org/10.1016/j.envpol.2019.113011","http://dx.doi.org/10.1016/j.envpol.2019.113011")</f>
        <v>http://dx.doi.org/10.1016/j.envpol.2019.113011</v>
      </c>
      <c r="G6" s="2" t="s">
        <v>61</v>
      </c>
      <c r="H6" s="2" t="s">
        <v>100</v>
      </c>
      <c r="I6" s="2" t="s">
        <v>101</v>
      </c>
      <c r="J6" s="2" t="s">
        <v>102</v>
      </c>
      <c r="K6" s="2" t="s">
        <v>68</v>
      </c>
      <c r="L6" s="2" t="s">
        <v>103</v>
      </c>
      <c r="M6" s="2" t="s">
        <v>104</v>
      </c>
      <c r="N6" s="2" t="s">
        <v>105</v>
      </c>
      <c r="O6" s="2" t="s">
        <v>106</v>
      </c>
      <c r="P6" s="2" t="s">
        <v>107</v>
      </c>
      <c r="Q6" s="2" t="s">
        <v>108</v>
      </c>
      <c r="R6" s="2" t="s">
        <v>109</v>
      </c>
      <c r="S6" s="2" t="s">
        <v>110</v>
      </c>
      <c r="T6" s="2" t="s">
        <v>111</v>
      </c>
      <c r="U6" s="2" t="s">
        <v>112</v>
      </c>
      <c r="V6" s="2" t="s">
        <v>113</v>
      </c>
      <c r="W6" s="2" t="s">
        <v>80</v>
      </c>
      <c r="X6" s="4">
        <v>346</v>
      </c>
      <c r="Y6" s="4">
        <v>278</v>
      </c>
      <c r="Z6" s="4">
        <v>286</v>
      </c>
      <c r="AA6" s="4">
        <v>83</v>
      </c>
      <c r="AB6" s="4">
        <v>1232</v>
      </c>
      <c r="AC6" s="2" t="s">
        <v>114</v>
      </c>
      <c r="AD6" s="2" t="s">
        <v>115</v>
      </c>
      <c r="AE6" s="2" t="s">
        <v>116</v>
      </c>
      <c r="AF6" s="2" t="s">
        <v>117</v>
      </c>
      <c r="AG6" s="2" t="s">
        <v>118</v>
      </c>
      <c r="AH6" s="2" t="s">
        <v>86</v>
      </c>
      <c r="AI6" s="2" t="s">
        <v>119</v>
      </c>
      <c r="AJ6" s="2" t="s">
        <v>120</v>
      </c>
      <c r="AK6" s="2" t="s">
        <v>121</v>
      </c>
      <c r="AL6" s="4">
        <v>2019</v>
      </c>
      <c r="AM6" s="4">
        <v>254</v>
      </c>
      <c r="AN6" s="2" t="s">
        <v>86</v>
      </c>
      <c r="AO6" s="2" t="s">
        <v>122</v>
      </c>
      <c r="AP6" s="2" t="s">
        <v>86</v>
      </c>
      <c r="AQ6" s="2" t="s">
        <v>86</v>
      </c>
      <c r="AR6" s="2" t="s">
        <v>86</v>
      </c>
      <c r="AS6" s="2" t="s">
        <v>86</v>
      </c>
      <c r="AT6" s="2" t="s">
        <v>86</v>
      </c>
      <c r="AU6" s="4">
        <v>113011</v>
      </c>
      <c r="AV6" s="2" t="s">
        <v>86</v>
      </c>
      <c r="AW6" s="2" t="s">
        <v>86</v>
      </c>
      <c r="AX6" s="4">
        <v>24</v>
      </c>
      <c r="AY6" s="2" t="s">
        <v>91</v>
      </c>
      <c r="AZ6" s="2" t="s">
        <v>92</v>
      </c>
      <c r="BA6" s="2" t="s">
        <v>93</v>
      </c>
      <c r="BB6" s="2" t="s">
        <v>123</v>
      </c>
      <c r="BC6" s="4">
        <v>31404735</v>
      </c>
      <c r="BD6" s="2" t="s">
        <v>86</v>
      </c>
      <c r="BE6" s="2" t="s">
        <v>86</v>
      </c>
      <c r="BF6" s="2" t="s">
        <v>86</v>
      </c>
      <c r="BG6" s="2" t="s">
        <v>95</v>
      </c>
      <c r="BH6" s="2" t="s">
        <v>124</v>
      </c>
      <c r="BI6" s="2" t="str">
        <f>HYPERLINK("https%3A%2F%2Fwww.webofscience.com%2Fwos%2Fwoscc%2Ffull-record%2FWOS:000488887500003","View Full Record in Web of Science")</f>
        <v>View Full Record in Web of Science</v>
      </c>
    </row>
    <row r="7" spans="1:61" customFormat="1" ht="12.75" x14ac:dyDescent="0.2">
      <c r="A7" s="1">
        <v>3</v>
      </c>
      <c r="B7" s="1" t="s">
        <v>61</v>
      </c>
      <c r="C7" s="1" t="s">
        <v>125</v>
      </c>
      <c r="D7" s="2" t="s">
        <v>126</v>
      </c>
      <c r="E7" s="2" t="s">
        <v>127</v>
      </c>
      <c r="F7" s="3" t="str">
        <f>HYPERLINK("http://dx.doi.org/10.1007/s11869-020-00926-3","http://dx.doi.org/10.1007/s11869-020-00926-3")</f>
        <v>http://dx.doi.org/10.1007/s11869-020-00926-3</v>
      </c>
      <c r="G7" s="2" t="s">
        <v>61</v>
      </c>
      <c r="H7" s="2" t="s">
        <v>128</v>
      </c>
      <c r="I7" s="2" t="s">
        <v>129</v>
      </c>
      <c r="J7" s="2" t="s">
        <v>130</v>
      </c>
      <c r="K7" s="2" t="s">
        <v>68</v>
      </c>
      <c r="L7" s="2" t="s">
        <v>131</v>
      </c>
      <c r="M7" s="2" t="s">
        <v>132</v>
      </c>
      <c r="N7" s="2" t="s">
        <v>133</v>
      </c>
      <c r="O7" s="2" t="s">
        <v>134</v>
      </c>
      <c r="P7" s="2" t="s">
        <v>135</v>
      </c>
      <c r="Q7" s="2" t="s">
        <v>136</v>
      </c>
      <c r="R7" s="2" t="s">
        <v>137</v>
      </c>
      <c r="S7" s="2" t="s">
        <v>138</v>
      </c>
      <c r="T7" s="2" t="s">
        <v>86</v>
      </c>
      <c r="U7" s="2" t="s">
        <v>86</v>
      </c>
      <c r="V7" s="2" t="s">
        <v>86</v>
      </c>
      <c r="W7" s="2" t="s">
        <v>80</v>
      </c>
      <c r="X7" s="4">
        <v>75</v>
      </c>
      <c r="Y7" s="4">
        <v>41</v>
      </c>
      <c r="Z7" s="4">
        <v>43</v>
      </c>
      <c r="AA7" s="4">
        <v>52</v>
      </c>
      <c r="AB7" s="4">
        <v>329</v>
      </c>
      <c r="AC7" s="2" t="s">
        <v>139</v>
      </c>
      <c r="AD7" s="2" t="s">
        <v>140</v>
      </c>
      <c r="AE7" s="2" t="s">
        <v>141</v>
      </c>
      <c r="AF7" s="2" t="s">
        <v>142</v>
      </c>
      <c r="AG7" s="2" t="s">
        <v>143</v>
      </c>
      <c r="AH7" s="2" t="s">
        <v>86</v>
      </c>
      <c r="AI7" s="2" t="s">
        <v>144</v>
      </c>
      <c r="AJ7" s="2" t="s">
        <v>145</v>
      </c>
      <c r="AK7" s="2" t="s">
        <v>146</v>
      </c>
      <c r="AL7" s="4">
        <v>2021</v>
      </c>
      <c r="AM7" s="4">
        <v>14</v>
      </c>
      <c r="AN7" s="4">
        <v>2</v>
      </c>
      <c r="AO7" s="2" t="s">
        <v>86</v>
      </c>
      <c r="AP7" s="2" t="s">
        <v>86</v>
      </c>
      <c r="AQ7" s="2" t="s">
        <v>86</v>
      </c>
      <c r="AR7" s="2" t="s">
        <v>86</v>
      </c>
      <c r="AS7" s="4">
        <v>203</v>
      </c>
      <c r="AT7" s="4">
        <v>215</v>
      </c>
      <c r="AU7" s="2" t="s">
        <v>86</v>
      </c>
      <c r="AV7" s="2" t="s">
        <v>86</v>
      </c>
      <c r="AW7" s="2" t="s">
        <v>147</v>
      </c>
      <c r="AX7" s="4">
        <v>13</v>
      </c>
      <c r="AY7" s="2" t="s">
        <v>91</v>
      </c>
      <c r="AZ7" s="2" t="s">
        <v>92</v>
      </c>
      <c r="BA7" s="2" t="s">
        <v>93</v>
      </c>
      <c r="BB7" s="2" t="s">
        <v>148</v>
      </c>
      <c r="BC7" s="2" t="s">
        <v>86</v>
      </c>
      <c r="BD7" s="2" t="s">
        <v>86</v>
      </c>
      <c r="BE7" s="2" t="s">
        <v>86</v>
      </c>
      <c r="BF7" s="2" t="s">
        <v>86</v>
      </c>
      <c r="BG7" s="2" t="s">
        <v>95</v>
      </c>
      <c r="BH7" s="2" t="s">
        <v>149</v>
      </c>
      <c r="BI7" s="2" t="str">
        <f>HYPERLINK("https%3A%2F%2Fwww.webofscience.com%2Fwos%2Fwoscc%2Ffull-record%2FWOS:000565466000001","View Full Record in Web of Science")</f>
        <v>View Full Record in Web of Science</v>
      </c>
    </row>
    <row r="8" spans="1:61" customFormat="1" ht="12.75" x14ac:dyDescent="0.2">
      <c r="A8" s="1">
        <v>4</v>
      </c>
      <c r="B8" s="1" t="s">
        <v>61</v>
      </c>
      <c r="C8" s="1" t="s">
        <v>150</v>
      </c>
      <c r="D8" s="2" t="s">
        <v>151</v>
      </c>
      <c r="E8" s="2" t="s">
        <v>152</v>
      </c>
      <c r="F8" s="3" t="str">
        <f>HYPERLINK("http://dx.doi.org/10.26650/ASE20221186783","http://dx.doi.org/10.26650/ASE20221186783")</f>
        <v>http://dx.doi.org/10.26650/ASE20221186783</v>
      </c>
      <c r="G8" s="2" t="s">
        <v>61</v>
      </c>
      <c r="H8" s="2" t="s">
        <v>153</v>
      </c>
      <c r="I8" s="2" t="s">
        <v>154</v>
      </c>
      <c r="J8" s="2" t="s">
        <v>155</v>
      </c>
      <c r="K8" s="2" t="s">
        <v>68</v>
      </c>
      <c r="L8" s="2" t="s">
        <v>156</v>
      </c>
      <c r="M8" s="2" t="s">
        <v>157</v>
      </c>
      <c r="N8" s="2" t="s">
        <v>158</v>
      </c>
      <c r="O8" s="2" t="s">
        <v>159</v>
      </c>
      <c r="P8" s="2" t="s">
        <v>160</v>
      </c>
      <c r="Q8" s="2" t="s">
        <v>161</v>
      </c>
      <c r="R8" s="2" t="s">
        <v>162</v>
      </c>
      <c r="S8" s="2" t="s">
        <v>163</v>
      </c>
      <c r="T8" s="2" t="s">
        <v>86</v>
      </c>
      <c r="U8" s="2" t="s">
        <v>86</v>
      </c>
      <c r="V8" s="2" t="s">
        <v>86</v>
      </c>
      <c r="W8" s="2" t="s">
        <v>80</v>
      </c>
      <c r="X8" s="4">
        <v>268</v>
      </c>
      <c r="Y8" s="4">
        <v>1</v>
      </c>
      <c r="Z8" s="4">
        <v>1</v>
      </c>
      <c r="AA8" s="4">
        <v>30</v>
      </c>
      <c r="AB8" s="4">
        <v>30</v>
      </c>
      <c r="AC8" s="2" t="s">
        <v>164</v>
      </c>
      <c r="AD8" s="2" t="s">
        <v>165</v>
      </c>
      <c r="AE8" s="2" t="s">
        <v>166</v>
      </c>
      <c r="AF8" s="2" t="s">
        <v>86</v>
      </c>
      <c r="AG8" s="2" t="s">
        <v>167</v>
      </c>
      <c r="AH8" s="2" t="s">
        <v>86</v>
      </c>
      <c r="AI8" s="2" t="s">
        <v>168</v>
      </c>
      <c r="AJ8" s="2" t="s">
        <v>169</v>
      </c>
      <c r="AK8" s="2" t="s">
        <v>86</v>
      </c>
      <c r="AL8" s="4">
        <v>2023</v>
      </c>
      <c r="AM8" s="4">
        <v>38</v>
      </c>
      <c r="AN8" s="4">
        <v>1</v>
      </c>
      <c r="AO8" s="2" t="s">
        <v>86</v>
      </c>
      <c r="AP8" s="2" t="s">
        <v>86</v>
      </c>
      <c r="AQ8" s="2" t="s">
        <v>86</v>
      </c>
      <c r="AR8" s="2" t="s">
        <v>86</v>
      </c>
      <c r="AS8" s="4">
        <v>12</v>
      </c>
      <c r="AT8" s="4">
        <v>46</v>
      </c>
      <c r="AU8" s="2" t="s">
        <v>86</v>
      </c>
      <c r="AV8" s="2" t="s">
        <v>86</v>
      </c>
      <c r="AW8" s="2" t="s">
        <v>86</v>
      </c>
      <c r="AX8" s="4">
        <v>35</v>
      </c>
      <c r="AY8" s="2" t="s">
        <v>170</v>
      </c>
      <c r="AZ8" s="2" t="s">
        <v>171</v>
      </c>
      <c r="BA8" s="2" t="s">
        <v>170</v>
      </c>
      <c r="BB8" s="2" t="s">
        <v>172</v>
      </c>
      <c r="BC8" s="2" t="s">
        <v>86</v>
      </c>
      <c r="BD8" s="2" t="s">
        <v>86</v>
      </c>
      <c r="BE8" s="2" t="s">
        <v>86</v>
      </c>
      <c r="BF8" s="2" t="s">
        <v>86</v>
      </c>
      <c r="BG8" s="2" t="s">
        <v>95</v>
      </c>
      <c r="BH8" s="2" t="s">
        <v>173</v>
      </c>
      <c r="BI8" s="2" t="str">
        <f>HYPERLINK("https%3A%2F%2Fwww.webofscience.com%2Fwos%2Fwoscc%2Ffull-record%2FWOS:000925337200003","View Full Record in Web of Science")</f>
        <v>View Full Record in Web of Science</v>
      </c>
    </row>
    <row r="9" spans="1:61" customFormat="1" ht="12.75" x14ac:dyDescent="0.2">
      <c r="A9" s="1">
        <v>5</v>
      </c>
      <c r="B9" s="1" t="s">
        <v>61</v>
      </c>
      <c r="C9" s="1" t="s">
        <v>174</v>
      </c>
      <c r="D9" s="2" t="s">
        <v>175</v>
      </c>
      <c r="E9" s="2" t="s">
        <v>86</v>
      </c>
      <c r="F9" s="2" t="s">
        <v>86</v>
      </c>
      <c r="G9" s="2" t="s">
        <v>176</v>
      </c>
      <c r="H9" s="2" t="s">
        <v>177</v>
      </c>
      <c r="I9" s="2" t="s">
        <v>178</v>
      </c>
      <c r="J9" s="2" t="s">
        <v>179</v>
      </c>
      <c r="K9" s="2" t="s">
        <v>68</v>
      </c>
      <c r="L9" s="2" t="s">
        <v>180</v>
      </c>
      <c r="M9" s="2" t="s">
        <v>181</v>
      </c>
      <c r="N9" s="2" t="s">
        <v>182</v>
      </c>
      <c r="O9" s="2" t="s">
        <v>183</v>
      </c>
      <c r="P9" s="2" t="s">
        <v>184</v>
      </c>
      <c r="Q9" s="2" t="s">
        <v>185</v>
      </c>
      <c r="R9" s="2" t="s">
        <v>186</v>
      </c>
      <c r="S9" s="2" t="s">
        <v>187</v>
      </c>
      <c r="T9" s="2" t="s">
        <v>86</v>
      </c>
      <c r="U9" s="2" t="s">
        <v>86</v>
      </c>
      <c r="V9" s="2" t="s">
        <v>86</v>
      </c>
      <c r="W9" s="2" t="s">
        <v>188</v>
      </c>
      <c r="X9" s="4">
        <v>91</v>
      </c>
      <c r="Y9" s="4">
        <v>0</v>
      </c>
      <c r="Z9" s="4">
        <v>0</v>
      </c>
      <c r="AA9" s="4">
        <v>8</v>
      </c>
      <c r="AB9" s="4">
        <v>19</v>
      </c>
      <c r="AC9" s="2" t="s">
        <v>189</v>
      </c>
      <c r="AD9" s="2" t="s">
        <v>165</v>
      </c>
      <c r="AE9" s="2" t="s">
        <v>190</v>
      </c>
      <c r="AF9" s="2" t="s">
        <v>86</v>
      </c>
      <c r="AG9" s="2" t="s">
        <v>86</v>
      </c>
      <c r="AH9" s="2" t="s">
        <v>191</v>
      </c>
      <c r="AI9" s="2" t="s">
        <v>192</v>
      </c>
      <c r="AJ9" s="2" t="s">
        <v>86</v>
      </c>
      <c r="AK9" s="2" t="s">
        <v>86</v>
      </c>
      <c r="AL9" s="4">
        <v>2020</v>
      </c>
      <c r="AM9" s="4">
        <v>56</v>
      </c>
      <c r="AN9" s="2" t="s">
        <v>86</v>
      </c>
      <c r="AO9" s="2" t="s">
        <v>86</v>
      </c>
      <c r="AP9" s="2" t="s">
        <v>86</v>
      </c>
      <c r="AQ9" s="2" t="s">
        <v>86</v>
      </c>
      <c r="AR9" s="2" t="s">
        <v>86</v>
      </c>
      <c r="AS9" s="4">
        <v>326</v>
      </c>
      <c r="AT9" s="4">
        <v>343</v>
      </c>
      <c r="AU9" s="2" t="s">
        <v>86</v>
      </c>
      <c r="AV9" s="2" t="s">
        <v>86</v>
      </c>
      <c r="AW9" s="2" t="s">
        <v>86</v>
      </c>
      <c r="AX9" s="4">
        <v>18</v>
      </c>
      <c r="AY9" s="2" t="s">
        <v>193</v>
      </c>
      <c r="AZ9" s="2" t="s">
        <v>194</v>
      </c>
      <c r="BA9" s="2" t="s">
        <v>93</v>
      </c>
      <c r="BB9" s="2" t="s">
        <v>195</v>
      </c>
      <c r="BC9" s="2" t="s">
        <v>86</v>
      </c>
      <c r="BD9" s="2" t="s">
        <v>86</v>
      </c>
      <c r="BE9" s="2" t="s">
        <v>86</v>
      </c>
      <c r="BF9" s="2" t="s">
        <v>86</v>
      </c>
      <c r="BG9" s="2" t="s">
        <v>95</v>
      </c>
      <c r="BH9" s="2" t="s">
        <v>196</v>
      </c>
      <c r="BI9" s="2" t="str">
        <f>HYPERLINK("https%3A%2F%2Fwww.webofscience.com%2Fwos%2Fwoscc%2Ffull-record%2FWOS:000637180200027","View Full Record in Web of Science")</f>
        <v>View Full Record in Web of Science</v>
      </c>
    </row>
    <row r="10" spans="1:61" customFormat="1" ht="12.75" x14ac:dyDescent="0.2">
      <c r="A10" s="1">
        <v>6</v>
      </c>
      <c r="B10" s="1" t="s">
        <v>61</v>
      </c>
      <c r="C10" s="1" t="s">
        <v>197</v>
      </c>
      <c r="D10" s="2" t="s">
        <v>198</v>
      </c>
      <c r="E10" s="2" t="s">
        <v>199</v>
      </c>
      <c r="F10" s="3" t="str">
        <f>HYPERLINK("http://dx.doi.org/10.3390/polym13234129","http://dx.doi.org/10.3390/polym13234129")</f>
        <v>http://dx.doi.org/10.3390/polym13234129</v>
      </c>
      <c r="G10" s="2" t="s">
        <v>200</v>
      </c>
      <c r="H10" s="2" t="s">
        <v>201</v>
      </c>
      <c r="I10" s="2" t="s">
        <v>202</v>
      </c>
      <c r="J10" s="2" t="s">
        <v>203</v>
      </c>
      <c r="K10" s="2" t="s">
        <v>68</v>
      </c>
      <c r="L10" s="2" t="s">
        <v>204</v>
      </c>
      <c r="M10" s="2" t="s">
        <v>205</v>
      </c>
      <c r="N10" s="2" t="s">
        <v>206</v>
      </c>
      <c r="O10" s="2" t="s">
        <v>207</v>
      </c>
      <c r="P10" s="2" t="s">
        <v>208</v>
      </c>
      <c r="Q10" s="2" t="s">
        <v>209</v>
      </c>
      <c r="R10" s="2" t="s">
        <v>86</v>
      </c>
      <c r="S10" s="2" t="s">
        <v>210</v>
      </c>
      <c r="T10" s="2" t="s">
        <v>86</v>
      </c>
      <c r="U10" s="2" t="s">
        <v>86</v>
      </c>
      <c r="V10" s="2" t="s">
        <v>86</v>
      </c>
      <c r="W10" s="2" t="s">
        <v>80</v>
      </c>
      <c r="X10" s="4">
        <v>148</v>
      </c>
      <c r="Y10" s="4">
        <v>8</v>
      </c>
      <c r="Z10" s="4">
        <v>8</v>
      </c>
      <c r="AA10" s="4">
        <v>23</v>
      </c>
      <c r="AB10" s="4">
        <v>92</v>
      </c>
      <c r="AC10" s="2" t="s">
        <v>211</v>
      </c>
      <c r="AD10" s="2" t="s">
        <v>212</v>
      </c>
      <c r="AE10" s="2" t="s">
        <v>213</v>
      </c>
      <c r="AF10" s="2" t="s">
        <v>86</v>
      </c>
      <c r="AG10" s="2" t="s">
        <v>214</v>
      </c>
      <c r="AH10" s="2" t="s">
        <v>86</v>
      </c>
      <c r="AI10" s="2" t="s">
        <v>215</v>
      </c>
      <c r="AJ10" s="2" t="s">
        <v>216</v>
      </c>
      <c r="AK10" s="2" t="s">
        <v>217</v>
      </c>
      <c r="AL10" s="4">
        <v>2021</v>
      </c>
      <c r="AM10" s="4">
        <v>13</v>
      </c>
      <c r="AN10" s="4">
        <v>23</v>
      </c>
      <c r="AO10" s="2" t="s">
        <v>86</v>
      </c>
      <c r="AP10" s="2" t="s">
        <v>86</v>
      </c>
      <c r="AQ10" s="2" t="s">
        <v>86</v>
      </c>
      <c r="AR10" s="2" t="s">
        <v>86</v>
      </c>
      <c r="AS10" s="2" t="s">
        <v>86</v>
      </c>
      <c r="AT10" s="2" t="s">
        <v>86</v>
      </c>
      <c r="AU10" s="4">
        <v>4129</v>
      </c>
      <c r="AV10" s="2" t="s">
        <v>86</v>
      </c>
      <c r="AW10" s="2" t="s">
        <v>86</v>
      </c>
      <c r="AX10" s="4">
        <v>24</v>
      </c>
      <c r="AY10" s="2" t="s">
        <v>218</v>
      </c>
      <c r="AZ10" s="2" t="s">
        <v>92</v>
      </c>
      <c r="BA10" s="2" t="s">
        <v>218</v>
      </c>
      <c r="BB10" s="2" t="s">
        <v>219</v>
      </c>
      <c r="BC10" s="4">
        <v>34883632</v>
      </c>
      <c r="BD10" s="2" t="s">
        <v>220</v>
      </c>
      <c r="BE10" s="2" t="s">
        <v>86</v>
      </c>
      <c r="BF10" s="2" t="s">
        <v>86</v>
      </c>
      <c r="BG10" s="2" t="s">
        <v>95</v>
      </c>
      <c r="BH10" s="2" t="s">
        <v>221</v>
      </c>
      <c r="BI10" s="2" t="str">
        <f>HYPERLINK("https%3A%2F%2Fwww.webofscience.com%2Fwos%2Fwoscc%2Ffull-record%2FWOS:000734496200001","View Full Record in Web of Science")</f>
        <v>View Full Record in Web of Science</v>
      </c>
    </row>
    <row r="11" spans="1:61" customFormat="1" ht="12.75" x14ac:dyDescent="0.2">
      <c r="A11" s="1">
        <v>7</v>
      </c>
      <c r="B11" s="1" t="s">
        <v>61</v>
      </c>
      <c r="C11" s="1" t="s">
        <v>222</v>
      </c>
      <c r="D11" s="2" t="s">
        <v>223</v>
      </c>
      <c r="E11" s="2" t="s">
        <v>224</v>
      </c>
      <c r="F11" s="3" t="str">
        <f>HYPERLINK("http://dx.doi.org/10.1016/j.chemosphere.2021.132517","http://dx.doi.org/10.1016/j.chemosphere.2021.132517")</f>
        <v>http://dx.doi.org/10.1016/j.chemosphere.2021.132517</v>
      </c>
      <c r="G11" s="2" t="s">
        <v>61</v>
      </c>
      <c r="H11" s="2" t="s">
        <v>225</v>
      </c>
      <c r="I11" s="2" t="s">
        <v>226</v>
      </c>
      <c r="J11" s="2" t="s">
        <v>227</v>
      </c>
      <c r="K11" s="2" t="s">
        <v>68</v>
      </c>
      <c r="L11" s="2" t="s">
        <v>228</v>
      </c>
      <c r="M11" s="2" t="s">
        <v>229</v>
      </c>
      <c r="N11" s="2" t="s">
        <v>230</v>
      </c>
      <c r="O11" s="2" t="s">
        <v>231</v>
      </c>
      <c r="P11" s="2" t="s">
        <v>107</v>
      </c>
      <c r="Q11" s="2" t="s">
        <v>108</v>
      </c>
      <c r="R11" s="2" t="s">
        <v>232</v>
      </c>
      <c r="S11" s="2" t="s">
        <v>233</v>
      </c>
      <c r="T11" s="2" t="s">
        <v>234</v>
      </c>
      <c r="U11" s="2" t="s">
        <v>235</v>
      </c>
      <c r="V11" s="2" t="s">
        <v>236</v>
      </c>
      <c r="W11" s="2" t="s">
        <v>80</v>
      </c>
      <c r="X11" s="4">
        <v>114</v>
      </c>
      <c r="Y11" s="4">
        <v>21</v>
      </c>
      <c r="Z11" s="4">
        <v>22</v>
      </c>
      <c r="AA11" s="4">
        <v>34</v>
      </c>
      <c r="AB11" s="4">
        <v>194</v>
      </c>
      <c r="AC11" s="2" t="s">
        <v>237</v>
      </c>
      <c r="AD11" s="2" t="s">
        <v>115</v>
      </c>
      <c r="AE11" s="2" t="s">
        <v>238</v>
      </c>
      <c r="AF11" s="2" t="s">
        <v>239</v>
      </c>
      <c r="AG11" s="2" t="s">
        <v>240</v>
      </c>
      <c r="AH11" s="2" t="s">
        <v>86</v>
      </c>
      <c r="AI11" s="2" t="s">
        <v>227</v>
      </c>
      <c r="AJ11" s="2" t="s">
        <v>241</v>
      </c>
      <c r="AK11" s="2" t="s">
        <v>146</v>
      </c>
      <c r="AL11" s="4">
        <v>2022</v>
      </c>
      <c r="AM11" s="4">
        <v>288</v>
      </c>
      <c r="AN11" s="2" t="s">
        <v>86</v>
      </c>
      <c r="AO11" s="4">
        <v>2</v>
      </c>
      <c r="AP11" s="2" t="s">
        <v>86</v>
      </c>
      <c r="AQ11" s="2" t="s">
        <v>86</v>
      </c>
      <c r="AR11" s="2" t="s">
        <v>86</v>
      </c>
      <c r="AS11" s="2" t="s">
        <v>86</v>
      </c>
      <c r="AT11" s="2" t="s">
        <v>86</v>
      </c>
      <c r="AU11" s="4">
        <v>132517</v>
      </c>
      <c r="AV11" s="2" t="s">
        <v>86</v>
      </c>
      <c r="AW11" s="2" t="s">
        <v>242</v>
      </c>
      <c r="AX11" s="4">
        <v>17</v>
      </c>
      <c r="AY11" s="2" t="s">
        <v>91</v>
      </c>
      <c r="AZ11" s="2" t="s">
        <v>92</v>
      </c>
      <c r="BA11" s="2" t="s">
        <v>93</v>
      </c>
      <c r="BB11" s="2" t="s">
        <v>243</v>
      </c>
      <c r="BC11" s="4">
        <v>34634279</v>
      </c>
      <c r="BD11" s="2" t="s">
        <v>86</v>
      </c>
      <c r="BE11" s="2" t="s">
        <v>86</v>
      </c>
      <c r="BF11" s="2" t="s">
        <v>86</v>
      </c>
      <c r="BG11" s="2" t="s">
        <v>95</v>
      </c>
      <c r="BH11" s="2" t="s">
        <v>244</v>
      </c>
      <c r="BI11" s="2" t="str">
        <f>HYPERLINK("https%3A%2F%2Fwww.webofscience.com%2Fwos%2Fwoscc%2Ffull-record%2FWOS:000710151800006","View Full Record in Web of Science")</f>
        <v>View Full Record in Web of Science</v>
      </c>
    </row>
    <row r="12" spans="1:61" customFormat="1" ht="12.75" x14ac:dyDescent="0.2">
      <c r="A12" s="1">
        <v>8</v>
      </c>
      <c r="B12" s="1" t="s">
        <v>61</v>
      </c>
      <c r="C12" s="1" t="s">
        <v>245</v>
      </c>
      <c r="D12" s="2" t="s">
        <v>246</v>
      </c>
      <c r="E12" s="2" t="s">
        <v>247</v>
      </c>
      <c r="F12" s="3" t="str">
        <f>HYPERLINK("http://dx.doi.org/10.1080/10408398.2022.2033684","http://dx.doi.org/10.1080/10408398.2022.2033684")</f>
        <v>http://dx.doi.org/10.1080/10408398.2022.2033684</v>
      </c>
      <c r="G12" s="2" t="s">
        <v>248</v>
      </c>
      <c r="H12" s="2" t="s">
        <v>249</v>
      </c>
      <c r="I12" s="2" t="s">
        <v>250</v>
      </c>
      <c r="J12" s="2" t="s">
        <v>251</v>
      </c>
      <c r="K12" s="2" t="s">
        <v>68</v>
      </c>
      <c r="L12" s="2" t="s">
        <v>252</v>
      </c>
      <c r="M12" s="2" t="s">
        <v>253</v>
      </c>
      <c r="N12" s="2" t="s">
        <v>254</v>
      </c>
      <c r="O12" s="2" t="s">
        <v>255</v>
      </c>
      <c r="P12" s="2" t="s">
        <v>256</v>
      </c>
      <c r="Q12" s="2" t="s">
        <v>257</v>
      </c>
      <c r="R12" s="2" t="s">
        <v>258</v>
      </c>
      <c r="S12" s="2" t="s">
        <v>259</v>
      </c>
      <c r="T12" s="2" t="s">
        <v>86</v>
      </c>
      <c r="U12" s="2" t="s">
        <v>86</v>
      </c>
      <c r="V12" s="2" t="s">
        <v>86</v>
      </c>
      <c r="W12" s="2" t="s">
        <v>80</v>
      </c>
      <c r="X12" s="4">
        <v>183</v>
      </c>
      <c r="Y12" s="4">
        <v>13</v>
      </c>
      <c r="Z12" s="4">
        <v>13</v>
      </c>
      <c r="AA12" s="4">
        <v>24</v>
      </c>
      <c r="AB12" s="4">
        <v>89</v>
      </c>
      <c r="AC12" s="2" t="s">
        <v>260</v>
      </c>
      <c r="AD12" s="2" t="s">
        <v>261</v>
      </c>
      <c r="AE12" s="2" t="s">
        <v>262</v>
      </c>
      <c r="AF12" s="2" t="s">
        <v>263</v>
      </c>
      <c r="AG12" s="2" t="s">
        <v>264</v>
      </c>
      <c r="AH12" s="2" t="s">
        <v>86</v>
      </c>
      <c r="AI12" s="2" t="s">
        <v>265</v>
      </c>
      <c r="AJ12" s="2" t="s">
        <v>266</v>
      </c>
      <c r="AK12" s="2" t="s">
        <v>267</v>
      </c>
      <c r="AL12" s="4">
        <v>2022</v>
      </c>
      <c r="AM12" s="2" t="s">
        <v>86</v>
      </c>
      <c r="AN12" s="2" t="s">
        <v>86</v>
      </c>
      <c r="AO12" s="2" t="s">
        <v>86</v>
      </c>
      <c r="AP12" s="2" t="s">
        <v>86</v>
      </c>
      <c r="AQ12" s="2" t="s">
        <v>86</v>
      </c>
      <c r="AR12" s="2" t="s">
        <v>86</v>
      </c>
      <c r="AS12" s="2" t="s">
        <v>86</v>
      </c>
      <c r="AT12" s="2" t="s">
        <v>86</v>
      </c>
      <c r="AU12" s="2" t="s">
        <v>86</v>
      </c>
      <c r="AV12" s="2" t="s">
        <v>86</v>
      </c>
      <c r="AW12" s="2" t="s">
        <v>268</v>
      </c>
      <c r="AX12" s="4">
        <v>19</v>
      </c>
      <c r="AY12" s="2" t="s">
        <v>269</v>
      </c>
      <c r="AZ12" s="2" t="s">
        <v>92</v>
      </c>
      <c r="BA12" s="2" t="s">
        <v>269</v>
      </c>
      <c r="BB12" s="2" t="s">
        <v>270</v>
      </c>
      <c r="BC12" s="4">
        <v>35152807</v>
      </c>
      <c r="BD12" s="2" t="s">
        <v>86</v>
      </c>
      <c r="BE12" s="2" t="s">
        <v>86</v>
      </c>
      <c r="BF12" s="2" t="s">
        <v>86</v>
      </c>
      <c r="BG12" s="2" t="s">
        <v>95</v>
      </c>
      <c r="BH12" s="2" t="s">
        <v>271</v>
      </c>
      <c r="BI12" s="2" t="str">
        <f>HYPERLINK("https%3A%2F%2Fwww.webofscience.com%2Fwos%2Fwoscc%2Ffull-record%2FWOS:000754964500001","View Full Record in Web of Science")</f>
        <v>View Full Record in Web of Science</v>
      </c>
    </row>
    <row r="13" spans="1:61" customFormat="1" ht="12.75" x14ac:dyDescent="0.2">
      <c r="A13" s="1">
        <v>9</v>
      </c>
      <c r="B13" s="1" t="s">
        <v>61</v>
      </c>
      <c r="C13" s="1" t="s">
        <v>272</v>
      </c>
      <c r="D13" s="2" t="s">
        <v>273</v>
      </c>
      <c r="E13" s="2" t="s">
        <v>274</v>
      </c>
      <c r="F13" s="3" t="str">
        <f>HYPERLINK("http://dx.doi.org/10.1080/02757540.2022.2126461","http://dx.doi.org/10.1080/02757540.2022.2126461")</f>
        <v>http://dx.doi.org/10.1080/02757540.2022.2126461</v>
      </c>
      <c r="G13" s="2" t="s">
        <v>200</v>
      </c>
      <c r="H13" s="2" t="s">
        <v>275</v>
      </c>
      <c r="I13" s="2" t="s">
        <v>276</v>
      </c>
      <c r="J13" s="2" t="s">
        <v>277</v>
      </c>
      <c r="K13" s="2" t="s">
        <v>68</v>
      </c>
      <c r="L13" s="2" t="s">
        <v>278</v>
      </c>
      <c r="M13" s="2" t="s">
        <v>279</v>
      </c>
      <c r="N13" s="2" t="s">
        <v>280</v>
      </c>
      <c r="O13" s="2" t="s">
        <v>281</v>
      </c>
      <c r="P13" s="2" t="s">
        <v>282</v>
      </c>
      <c r="Q13" s="2" t="s">
        <v>283</v>
      </c>
      <c r="R13" s="2" t="s">
        <v>284</v>
      </c>
      <c r="S13" s="2" t="s">
        <v>285</v>
      </c>
      <c r="T13" s="2" t="s">
        <v>86</v>
      </c>
      <c r="U13" s="2" t="s">
        <v>86</v>
      </c>
      <c r="V13" s="2" t="s">
        <v>86</v>
      </c>
      <c r="W13" s="2" t="s">
        <v>80</v>
      </c>
      <c r="X13" s="4">
        <v>117</v>
      </c>
      <c r="Y13" s="4">
        <v>5</v>
      </c>
      <c r="Z13" s="4">
        <v>5</v>
      </c>
      <c r="AA13" s="4">
        <v>13</v>
      </c>
      <c r="AB13" s="4">
        <v>48</v>
      </c>
      <c r="AC13" s="2" t="s">
        <v>286</v>
      </c>
      <c r="AD13" s="2" t="s">
        <v>287</v>
      </c>
      <c r="AE13" s="2" t="s">
        <v>288</v>
      </c>
      <c r="AF13" s="2" t="s">
        <v>289</v>
      </c>
      <c r="AG13" s="2" t="s">
        <v>290</v>
      </c>
      <c r="AH13" s="2" t="s">
        <v>86</v>
      </c>
      <c r="AI13" s="2" t="s">
        <v>291</v>
      </c>
      <c r="AJ13" s="2" t="s">
        <v>292</v>
      </c>
      <c r="AK13" s="2" t="s">
        <v>293</v>
      </c>
      <c r="AL13" s="4">
        <v>2022</v>
      </c>
      <c r="AM13" s="4">
        <v>38</v>
      </c>
      <c r="AN13" s="4">
        <v>10</v>
      </c>
      <c r="AO13" s="2" t="s">
        <v>86</v>
      </c>
      <c r="AP13" s="2" t="s">
        <v>86</v>
      </c>
      <c r="AQ13" s="2" t="s">
        <v>86</v>
      </c>
      <c r="AR13" s="2" t="s">
        <v>86</v>
      </c>
      <c r="AS13" s="4">
        <v>967</v>
      </c>
      <c r="AT13" s="4">
        <v>987</v>
      </c>
      <c r="AU13" s="2" t="s">
        <v>86</v>
      </c>
      <c r="AV13" s="2" t="s">
        <v>86</v>
      </c>
      <c r="AW13" s="2" t="s">
        <v>294</v>
      </c>
      <c r="AX13" s="4">
        <v>21</v>
      </c>
      <c r="AY13" s="2" t="s">
        <v>295</v>
      </c>
      <c r="AZ13" s="2" t="s">
        <v>92</v>
      </c>
      <c r="BA13" s="2" t="s">
        <v>296</v>
      </c>
      <c r="BB13" s="2" t="s">
        <v>297</v>
      </c>
      <c r="BC13" s="2" t="s">
        <v>86</v>
      </c>
      <c r="BD13" s="2" t="s">
        <v>86</v>
      </c>
      <c r="BE13" s="2" t="s">
        <v>86</v>
      </c>
      <c r="BF13" s="2" t="s">
        <v>86</v>
      </c>
      <c r="BG13" s="2" t="s">
        <v>95</v>
      </c>
      <c r="BH13" s="2" t="s">
        <v>298</v>
      </c>
      <c r="BI13" s="2" t="str">
        <f>HYPERLINK("https%3A%2F%2Fwww.webofscience.com%2Fwos%2Fwoscc%2Ffull-record%2FWOS:000860039500001","View Full Record in Web of Science")</f>
        <v>View Full Record in Web of Science</v>
      </c>
    </row>
    <row r="14" spans="1:61" customFormat="1" ht="12.75" x14ac:dyDescent="0.2">
      <c r="A14" s="1">
        <v>10</v>
      </c>
      <c r="B14" s="1" t="s">
        <v>61</v>
      </c>
      <c r="C14" s="1" t="s">
        <v>299</v>
      </c>
      <c r="D14" s="2" t="s">
        <v>300</v>
      </c>
      <c r="E14" s="2" t="s">
        <v>301</v>
      </c>
      <c r="F14" s="3" t="str">
        <f>HYPERLINK("http://dx.doi.org/10.12714/egejfas.37.4.16","http://dx.doi.org/10.12714/egejfas.37.4.16")</f>
        <v>http://dx.doi.org/10.12714/egejfas.37.4.16</v>
      </c>
      <c r="G14" s="2" t="s">
        <v>61</v>
      </c>
      <c r="H14" s="2" t="s">
        <v>302</v>
      </c>
      <c r="I14" s="2" t="s">
        <v>303</v>
      </c>
      <c r="J14" s="2" t="s">
        <v>304</v>
      </c>
      <c r="K14" s="2" t="s">
        <v>305</v>
      </c>
      <c r="L14" s="2" t="s">
        <v>306</v>
      </c>
      <c r="M14" s="2" t="s">
        <v>307</v>
      </c>
      <c r="N14" s="2" t="s">
        <v>308</v>
      </c>
      <c r="O14" s="2" t="s">
        <v>309</v>
      </c>
      <c r="P14" s="2" t="s">
        <v>310</v>
      </c>
      <c r="Q14" s="2" t="s">
        <v>311</v>
      </c>
      <c r="R14" s="2" t="s">
        <v>86</v>
      </c>
      <c r="S14" s="2" t="s">
        <v>312</v>
      </c>
      <c r="T14" s="2" t="s">
        <v>86</v>
      </c>
      <c r="U14" s="2" t="s">
        <v>86</v>
      </c>
      <c r="V14" s="2" t="s">
        <v>86</v>
      </c>
      <c r="W14" s="2" t="s">
        <v>80</v>
      </c>
      <c r="X14" s="4">
        <v>108</v>
      </c>
      <c r="Y14" s="4">
        <v>0</v>
      </c>
      <c r="Z14" s="4">
        <v>1</v>
      </c>
      <c r="AA14" s="4">
        <v>6</v>
      </c>
      <c r="AB14" s="4">
        <v>64</v>
      </c>
      <c r="AC14" s="2" t="s">
        <v>313</v>
      </c>
      <c r="AD14" s="2" t="s">
        <v>314</v>
      </c>
      <c r="AE14" s="2" t="s">
        <v>315</v>
      </c>
      <c r="AF14" s="2" t="s">
        <v>316</v>
      </c>
      <c r="AG14" s="2" t="s">
        <v>317</v>
      </c>
      <c r="AH14" s="2" t="s">
        <v>86</v>
      </c>
      <c r="AI14" s="2" t="s">
        <v>304</v>
      </c>
      <c r="AJ14" s="2" t="s">
        <v>318</v>
      </c>
      <c r="AK14" s="2" t="s">
        <v>86</v>
      </c>
      <c r="AL14" s="4">
        <v>2020</v>
      </c>
      <c r="AM14" s="4">
        <v>37</v>
      </c>
      <c r="AN14" s="4">
        <v>4</v>
      </c>
      <c r="AO14" s="2" t="s">
        <v>86</v>
      </c>
      <c r="AP14" s="2" t="s">
        <v>86</v>
      </c>
      <c r="AQ14" s="2" t="s">
        <v>86</v>
      </c>
      <c r="AR14" s="2" t="s">
        <v>86</v>
      </c>
      <c r="AS14" s="4">
        <v>437</v>
      </c>
      <c r="AT14" s="4">
        <v>443</v>
      </c>
      <c r="AU14" s="2" t="s">
        <v>86</v>
      </c>
      <c r="AV14" s="2" t="s">
        <v>86</v>
      </c>
      <c r="AW14" s="2" t="s">
        <v>86</v>
      </c>
      <c r="AX14" s="4">
        <v>7</v>
      </c>
      <c r="AY14" s="2" t="s">
        <v>319</v>
      </c>
      <c r="AZ14" s="2" t="s">
        <v>171</v>
      </c>
      <c r="BA14" s="2" t="s">
        <v>319</v>
      </c>
      <c r="BB14" s="2" t="s">
        <v>320</v>
      </c>
      <c r="BC14" s="2" t="s">
        <v>86</v>
      </c>
      <c r="BD14" s="2" t="s">
        <v>321</v>
      </c>
      <c r="BE14" s="2" t="s">
        <v>86</v>
      </c>
      <c r="BF14" s="2" t="s">
        <v>86</v>
      </c>
      <c r="BG14" s="2" t="s">
        <v>95</v>
      </c>
      <c r="BH14" s="2" t="s">
        <v>322</v>
      </c>
      <c r="BI14" s="2" t="str">
        <f>HYPERLINK("https%3A%2F%2Fwww.webofscience.com%2Fwos%2Fwoscc%2Ffull-record%2FWOS:000605750900016","View Full Record in Web of Science")</f>
        <v>View Full Record in Web of Science</v>
      </c>
    </row>
    <row r="15" spans="1:61" customFormat="1" ht="12.75" x14ac:dyDescent="0.2">
      <c r="A15" s="1">
        <v>11</v>
      </c>
      <c r="B15" s="1" t="s">
        <v>61</v>
      </c>
      <c r="C15" s="1" t="s">
        <v>323</v>
      </c>
      <c r="D15" s="2" t="s">
        <v>324</v>
      </c>
      <c r="E15" s="2" t="s">
        <v>325</v>
      </c>
      <c r="F15" s="3" t="str">
        <f>HYPERLINK("http://dx.doi.org/10.1016/j.jece.2022.107831","http://dx.doi.org/10.1016/j.jece.2022.107831")</f>
        <v>http://dx.doi.org/10.1016/j.jece.2022.107831</v>
      </c>
      <c r="G15" s="2" t="s">
        <v>200</v>
      </c>
      <c r="H15" s="2" t="s">
        <v>326</v>
      </c>
      <c r="I15" s="2" t="s">
        <v>327</v>
      </c>
      <c r="J15" s="2" t="s">
        <v>328</v>
      </c>
      <c r="K15" s="2" t="s">
        <v>68</v>
      </c>
      <c r="L15" s="2" t="s">
        <v>329</v>
      </c>
      <c r="M15" s="2" t="s">
        <v>330</v>
      </c>
      <c r="N15" s="2" t="s">
        <v>331</v>
      </c>
      <c r="O15" s="2" t="s">
        <v>332</v>
      </c>
      <c r="P15" s="2" t="s">
        <v>333</v>
      </c>
      <c r="Q15" s="2" t="s">
        <v>334</v>
      </c>
      <c r="R15" s="2" t="s">
        <v>86</v>
      </c>
      <c r="S15" s="2" t="s">
        <v>335</v>
      </c>
      <c r="T15" s="2" t="s">
        <v>336</v>
      </c>
      <c r="U15" s="2" t="s">
        <v>336</v>
      </c>
      <c r="V15" s="2" t="s">
        <v>337</v>
      </c>
      <c r="W15" s="2" t="s">
        <v>80</v>
      </c>
      <c r="X15" s="4">
        <v>82</v>
      </c>
      <c r="Y15" s="4">
        <v>5</v>
      </c>
      <c r="Z15" s="4">
        <v>5</v>
      </c>
      <c r="AA15" s="4">
        <v>13</v>
      </c>
      <c r="AB15" s="4">
        <v>34</v>
      </c>
      <c r="AC15" s="2" t="s">
        <v>114</v>
      </c>
      <c r="AD15" s="2" t="s">
        <v>115</v>
      </c>
      <c r="AE15" s="2" t="s">
        <v>116</v>
      </c>
      <c r="AF15" s="2" t="s">
        <v>338</v>
      </c>
      <c r="AG15" s="2" t="s">
        <v>339</v>
      </c>
      <c r="AH15" s="2" t="s">
        <v>86</v>
      </c>
      <c r="AI15" s="2" t="s">
        <v>340</v>
      </c>
      <c r="AJ15" s="2" t="s">
        <v>341</v>
      </c>
      <c r="AK15" s="2" t="s">
        <v>342</v>
      </c>
      <c r="AL15" s="4">
        <v>2022</v>
      </c>
      <c r="AM15" s="4">
        <v>10</v>
      </c>
      <c r="AN15" s="4">
        <v>3</v>
      </c>
      <c r="AO15" s="2" t="s">
        <v>86</v>
      </c>
      <c r="AP15" s="2" t="s">
        <v>86</v>
      </c>
      <c r="AQ15" s="2" t="s">
        <v>86</v>
      </c>
      <c r="AR15" s="2" t="s">
        <v>86</v>
      </c>
      <c r="AS15" s="2" t="s">
        <v>86</v>
      </c>
      <c r="AT15" s="2" t="s">
        <v>86</v>
      </c>
      <c r="AU15" s="4">
        <v>107831</v>
      </c>
      <c r="AV15" s="2" t="s">
        <v>86</v>
      </c>
      <c r="AW15" s="2" t="s">
        <v>343</v>
      </c>
      <c r="AX15" s="4">
        <v>12</v>
      </c>
      <c r="AY15" s="2" t="s">
        <v>344</v>
      </c>
      <c r="AZ15" s="2" t="s">
        <v>92</v>
      </c>
      <c r="BA15" s="2" t="s">
        <v>345</v>
      </c>
      <c r="BB15" s="2" t="s">
        <v>346</v>
      </c>
      <c r="BC15" s="2" t="s">
        <v>86</v>
      </c>
      <c r="BD15" s="2" t="s">
        <v>86</v>
      </c>
      <c r="BE15" s="2" t="s">
        <v>86</v>
      </c>
      <c r="BF15" s="2" t="s">
        <v>86</v>
      </c>
      <c r="BG15" s="2" t="s">
        <v>95</v>
      </c>
      <c r="BH15" s="2" t="s">
        <v>347</v>
      </c>
      <c r="BI15" s="2" t="str">
        <f>HYPERLINK("https%3A%2F%2Fwww.webofscience.com%2Fwos%2Fwoscc%2Ffull-record%2FWOS:000806513400002","View Full Record in Web of Science")</f>
        <v>View Full Record in Web of Science</v>
      </c>
    </row>
    <row r="16" spans="1:61" customFormat="1" ht="12.75" x14ac:dyDescent="0.2">
      <c r="A16" s="1">
        <v>12</v>
      </c>
      <c r="B16" s="1" t="s">
        <v>61</v>
      </c>
      <c r="C16" s="1" t="s">
        <v>348</v>
      </c>
      <c r="D16" s="2" t="s">
        <v>349</v>
      </c>
      <c r="E16" s="2" t="s">
        <v>350</v>
      </c>
      <c r="F16" s="3" t="str">
        <f>HYPERLINK("http://dx.doi.org/10.3390/bios13030332","http://dx.doi.org/10.3390/bios13030332")</f>
        <v>http://dx.doi.org/10.3390/bios13030332</v>
      </c>
      <c r="G16" s="2" t="s">
        <v>61</v>
      </c>
      <c r="H16" s="2" t="s">
        <v>351</v>
      </c>
      <c r="I16" s="2" t="s">
        <v>352</v>
      </c>
      <c r="J16" s="2" t="s">
        <v>353</v>
      </c>
      <c r="K16" s="2" t="s">
        <v>68</v>
      </c>
      <c r="L16" s="2" t="s">
        <v>354</v>
      </c>
      <c r="M16" s="2" t="s">
        <v>355</v>
      </c>
      <c r="N16" s="2" t="s">
        <v>356</v>
      </c>
      <c r="O16" s="2" t="s">
        <v>357</v>
      </c>
      <c r="P16" s="2" t="s">
        <v>358</v>
      </c>
      <c r="Q16" s="2" t="s">
        <v>359</v>
      </c>
      <c r="R16" s="2" t="s">
        <v>86</v>
      </c>
      <c r="S16" s="2" t="s">
        <v>360</v>
      </c>
      <c r="T16" s="2" t="s">
        <v>361</v>
      </c>
      <c r="U16" s="2" t="s">
        <v>362</v>
      </c>
      <c r="V16" s="2" t="s">
        <v>363</v>
      </c>
      <c r="W16" s="2" t="s">
        <v>80</v>
      </c>
      <c r="X16" s="4">
        <v>89</v>
      </c>
      <c r="Y16" s="4">
        <v>0</v>
      </c>
      <c r="Z16" s="4">
        <v>0</v>
      </c>
      <c r="AA16" s="4">
        <v>23</v>
      </c>
      <c r="AB16" s="4">
        <v>23</v>
      </c>
      <c r="AC16" s="2" t="s">
        <v>211</v>
      </c>
      <c r="AD16" s="2" t="s">
        <v>212</v>
      </c>
      <c r="AE16" s="2" t="s">
        <v>213</v>
      </c>
      <c r="AF16" s="2" t="s">
        <v>86</v>
      </c>
      <c r="AG16" s="2" t="s">
        <v>364</v>
      </c>
      <c r="AH16" s="2" t="s">
        <v>86</v>
      </c>
      <c r="AI16" s="2" t="s">
        <v>353</v>
      </c>
      <c r="AJ16" s="2" t="s">
        <v>365</v>
      </c>
      <c r="AK16" s="2" t="s">
        <v>366</v>
      </c>
      <c r="AL16" s="4">
        <v>2023</v>
      </c>
      <c r="AM16" s="4">
        <v>13</v>
      </c>
      <c r="AN16" s="4">
        <v>3</v>
      </c>
      <c r="AO16" s="2" t="s">
        <v>86</v>
      </c>
      <c r="AP16" s="2" t="s">
        <v>86</v>
      </c>
      <c r="AQ16" s="2" t="s">
        <v>86</v>
      </c>
      <c r="AR16" s="2" t="s">
        <v>86</v>
      </c>
      <c r="AS16" s="2" t="s">
        <v>86</v>
      </c>
      <c r="AT16" s="2" t="s">
        <v>86</v>
      </c>
      <c r="AU16" s="4">
        <v>332</v>
      </c>
      <c r="AV16" s="2" t="s">
        <v>86</v>
      </c>
      <c r="AW16" s="2" t="s">
        <v>86</v>
      </c>
      <c r="AX16" s="4">
        <v>20</v>
      </c>
      <c r="AY16" s="2" t="s">
        <v>367</v>
      </c>
      <c r="AZ16" s="2" t="s">
        <v>92</v>
      </c>
      <c r="BA16" s="2" t="s">
        <v>368</v>
      </c>
      <c r="BB16" s="2" t="s">
        <v>369</v>
      </c>
      <c r="BC16" s="4">
        <v>36979544</v>
      </c>
      <c r="BD16" s="2" t="s">
        <v>220</v>
      </c>
      <c r="BE16" s="2" t="s">
        <v>86</v>
      </c>
      <c r="BF16" s="2" t="s">
        <v>86</v>
      </c>
      <c r="BG16" s="2" t="s">
        <v>95</v>
      </c>
      <c r="BH16" s="2" t="s">
        <v>370</v>
      </c>
      <c r="BI16" s="2" t="str">
        <f>HYPERLINK("https%3A%2F%2Fwww.webofscience.com%2Fwos%2Fwoscc%2Ffull-record%2FWOS:000957381000001","View Full Record in Web of Science")</f>
        <v>View Full Record in Web of Science</v>
      </c>
    </row>
    <row r="17" spans="1:61" customFormat="1" ht="12.75" x14ac:dyDescent="0.2">
      <c r="A17" s="1">
        <v>13</v>
      </c>
      <c r="B17" s="1" t="s">
        <v>61</v>
      </c>
      <c r="C17" s="1" t="s">
        <v>371</v>
      </c>
      <c r="D17" s="2" t="s">
        <v>372</v>
      </c>
      <c r="E17" s="2" t="s">
        <v>373</v>
      </c>
      <c r="F17" s="3" t="str">
        <f>HYPERLINK("http://dx.doi.org/10.1016/j.jclepro.2022.135637","http://dx.doi.org/10.1016/j.jclepro.2022.135637")</f>
        <v>http://dx.doi.org/10.1016/j.jclepro.2022.135637</v>
      </c>
      <c r="G17" s="2" t="s">
        <v>200</v>
      </c>
      <c r="H17" s="2" t="s">
        <v>374</v>
      </c>
      <c r="I17" s="2" t="s">
        <v>375</v>
      </c>
      <c r="J17" s="2" t="s">
        <v>376</v>
      </c>
      <c r="K17" s="2" t="s">
        <v>68</v>
      </c>
      <c r="L17" s="2" t="s">
        <v>377</v>
      </c>
      <c r="M17" s="2" t="s">
        <v>378</v>
      </c>
      <c r="N17" s="2" t="s">
        <v>379</v>
      </c>
      <c r="O17" s="2" t="s">
        <v>380</v>
      </c>
      <c r="P17" s="2" t="s">
        <v>381</v>
      </c>
      <c r="Q17" s="2" t="s">
        <v>382</v>
      </c>
      <c r="R17" s="2" t="s">
        <v>86</v>
      </c>
      <c r="S17" s="2" t="s">
        <v>86</v>
      </c>
      <c r="T17" s="2" t="s">
        <v>383</v>
      </c>
      <c r="U17" s="2" t="s">
        <v>384</v>
      </c>
      <c r="V17" s="2" t="s">
        <v>385</v>
      </c>
      <c r="W17" s="2" t="s">
        <v>80</v>
      </c>
      <c r="X17" s="4">
        <v>77</v>
      </c>
      <c r="Y17" s="4">
        <v>1</v>
      </c>
      <c r="Z17" s="4">
        <v>1</v>
      </c>
      <c r="AA17" s="4">
        <v>0</v>
      </c>
      <c r="AB17" s="4">
        <v>0</v>
      </c>
      <c r="AC17" s="2" t="s">
        <v>114</v>
      </c>
      <c r="AD17" s="2" t="s">
        <v>115</v>
      </c>
      <c r="AE17" s="2" t="s">
        <v>116</v>
      </c>
      <c r="AF17" s="2" t="s">
        <v>386</v>
      </c>
      <c r="AG17" s="2" t="s">
        <v>387</v>
      </c>
      <c r="AH17" s="2" t="s">
        <v>86</v>
      </c>
      <c r="AI17" s="2" t="s">
        <v>388</v>
      </c>
      <c r="AJ17" s="2" t="s">
        <v>389</v>
      </c>
      <c r="AK17" s="2" t="s">
        <v>390</v>
      </c>
      <c r="AL17" s="4">
        <v>2023</v>
      </c>
      <c r="AM17" s="4">
        <v>384</v>
      </c>
      <c r="AN17" s="2" t="s">
        <v>86</v>
      </c>
      <c r="AO17" s="2" t="s">
        <v>86</v>
      </c>
      <c r="AP17" s="2" t="s">
        <v>86</v>
      </c>
      <c r="AQ17" s="2" t="s">
        <v>86</v>
      </c>
      <c r="AR17" s="2" t="s">
        <v>86</v>
      </c>
      <c r="AS17" s="2" t="s">
        <v>86</v>
      </c>
      <c r="AT17" s="2" t="s">
        <v>86</v>
      </c>
      <c r="AU17" s="4">
        <v>135637</v>
      </c>
      <c r="AV17" s="2" t="s">
        <v>86</v>
      </c>
      <c r="AW17" s="2" t="s">
        <v>391</v>
      </c>
      <c r="AX17" s="4">
        <v>10</v>
      </c>
      <c r="AY17" s="2" t="s">
        <v>392</v>
      </c>
      <c r="AZ17" s="2" t="s">
        <v>92</v>
      </c>
      <c r="BA17" s="2" t="s">
        <v>393</v>
      </c>
      <c r="BB17" s="2" t="s">
        <v>394</v>
      </c>
      <c r="BC17" s="2" t="s">
        <v>86</v>
      </c>
      <c r="BD17" s="2" t="s">
        <v>86</v>
      </c>
      <c r="BE17" s="2" t="s">
        <v>86</v>
      </c>
      <c r="BF17" s="2" t="s">
        <v>86</v>
      </c>
      <c r="BG17" s="2" t="s">
        <v>95</v>
      </c>
      <c r="BH17" s="2" t="s">
        <v>395</v>
      </c>
      <c r="BI17" s="2" t="str">
        <f>HYPERLINK("https%3A%2F%2Fwww.webofscience.com%2Fwos%2Fwoscc%2Ffull-record%2FWOS:001024211600001","View Full Record in Web of Science")</f>
        <v>View Full Record in Web of Science</v>
      </c>
    </row>
    <row r="18" spans="1:61" customFormat="1" ht="12.75" x14ac:dyDescent="0.2">
      <c r="A18" s="1">
        <v>14</v>
      </c>
      <c r="B18" s="1" t="s">
        <v>61</v>
      </c>
      <c r="C18" s="1" t="s">
        <v>396</v>
      </c>
      <c r="D18" s="2" t="s">
        <v>397</v>
      </c>
      <c r="E18" s="2" t="s">
        <v>398</v>
      </c>
      <c r="F18" s="3" t="str">
        <f>HYPERLINK("http://dx.doi.org/10.1007/s10661-021-08943-0","http://dx.doi.org/10.1007/s10661-021-08943-0")</f>
        <v>http://dx.doi.org/10.1007/s10661-021-08943-0</v>
      </c>
      <c r="G18" s="2" t="s">
        <v>61</v>
      </c>
      <c r="H18" s="2" t="s">
        <v>399</v>
      </c>
      <c r="I18" s="2" t="s">
        <v>400</v>
      </c>
      <c r="J18" s="2" t="s">
        <v>401</v>
      </c>
      <c r="K18" s="2" t="s">
        <v>68</v>
      </c>
      <c r="L18" s="2" t="s">
        <v>402</v>
      </c>
      <c r="M18" s="2" t="s">
        <v>403</v>
      </c>
      <c r="N18" s="2" t="s">
        <v>404</v>
      </c>
      <c r="O18" s="2" t="s">
        <v>405</v>
      </c>
      <c r="P18" s="2" t="s">
        <v>406</v>
      </c>
      <c r="Q18" s="2" t="s">
        <v>407</v>
      </c>
      <c r="R18" s="2" t="s">
        <v>408</v>
      </c>
      <c r="S18" s="2" t="s">
        <v>86</v>
      </c>
      <c r="T18" s="2" t="s">
        <v>409</v>
      </c>
      <c r="U18" s="2" t="s">
        <v>410</v>
      </c>
      <c r="V18" s="2" t="s">
        <v>411</v>
      </c>
      <c r="W18" s="2" t="s">
        <v>80</v>
      </c>
      <c r="X18" s="4">
        <v>150</v>
      </c>
      <c r="Y18" s="4">
        <v>25</v>
      </c>
      <c r="Z18" s="4">
        <v>25</v>
      </c>
      <c r="AA18" s="4">
        <v>32</v>
      </c>
      <c r="AB18" s="4">
        <v>269</v>
      </c>
      <c r="AC18" s="2" t="s">
        <v>139</v>
      </c>
      <c r="AD18" s="2" t="s">
        <v>140</v>
      </c>
      <c r="AE18" s="2" t="s">
        <v>141</v>
      </c>
      <c r="AF18" s="2" t="s">
        <v>412</v>
      </c>
      <c r="AG18" s="2" t="s">
        <v>413</v>
      </c>
      <c r="AH18" s="2" t="s">
        <v>86</v>
      </c>
      <c r="AI18" s="2" t="s">
        <v>414</v>
      </c>
      <c r="AJ18" s="2" t="s">
        <v>415</v>
      </c>
      <c r="AK18" s="2" t="s">
        <v>416</v>
      </c>
      <c r="AL18" s="4">
        <v>2021</v>
      </c>
      <c r="AM18" s="4">
        <v>193</v>
      </c>
      <c r="AN18" s="4">
        <v>4</v>
      </c>
      <c r="AO18" s="2" t="s">
        <v>86</v>
      </c>
      <c r="AP18" s="2" t="s">
        <v>86</v>
      </c>
      <c r="AQ18" s="2" t="s">
        <v>86</v>
      </c>
      <c r="AR18" s="2" t="s">
        <v>86</v>
      </c>
      <c r="AS18" s="2" t="s">
        <v>86</v>
      </c>
      <c r="AT18" s="2" t="s">
        <v>86</v>
      </c>
      <c r="AU18" s="4">
        <v>175</v>
      </c>
      <c r="AV18" s="2" t="s">
        <v>86</v>
      </c>
      <c r="AW18" s="2" t="s">
        <v>86</v>
      </c>
      <c r="AX18" s="4">
        <v>28</v>
      </c>
      <c r="AY18" s="2" t="s">
        <v>91</v>
      </c>
      <c r="AZ18" s="2" t="s">
        <v>92</v>
      </c>
      <c r="BA18" s="2" t="s">
        <v>93</v>
      </c>
      <c r="BB18" s="2" t="s">
        <v>417</v>
      </c>
      <c r="BC18" s="4">
        <v>33751247</v>
      </c>
      <c r="BD18" s="2" t="s">
        <v>86</v>
      </c>
      <c r="BE18" s="2" t="s">
        <v>86</v>
      </c>
      <c r="BF18" s="2" t="s">
        <v>86</v>
      </c>
      <c r="BG18" s="2" t="s">
        <v>95</v>
      </c>
      <c r="BH18" s="2" t="s">
        <v>418</v>
      </c>
      <c r="BI18" s="2" t="str">
        <f>HYPERLINK("https%3A%2F%2Fwww.webofscience.com%2Fwos%2Fwoscc%2Ffull-record%2FWOS:000627853700002","View Full Record in Web of Science")</f>
        <v>View Full Record in Web of Science</v>
      </c>
    </row>
    <row r="19" spans="1:61" customFormat="1" ht="12.75" x14ac:dyDescent="0.2">
      <c r="A19" s="1">
        <v>15</v>
      </c>
      <c r="B19" s="1" t="s">
        <v>61</v>
      </c>
      <c r="C19" s="1" t="s">
        <v>419</v>
      </c>
      <c r="D19" s="2" t="s">
        <v>420</v>
      </c>
      <c r="E19" s="2" t="s">
        <v>421</v>
      </c>
      <c r="F19" s="3" t="str">
        <f>HYPERLINK("http://dx.doi.org/10.1016/j.marpolbul.2019.07.009","http://dx.doi.org/10.1016/j.marpolbul.2019.07.009")</f>
        <v>http://dx.doi.org/10.1016/j.marpolbul.2019.07.009</v>
      </c>
      <c r="G19" s="2" t="s">
        <v>200</v>
      </c>
      <c r="H19" s="2" t="s">
        <v>422</v>
      </c>
      <c r="I19" s="2" t="s">
        <v>423</v>
      </c>
      <c r="J19" s="2" t="s">
        <v>424</v>
      </c>
      <c r="K19" s="2" t="s">
        <v>68</v>
      </c>
      <c r="L19" s="2" t="s">
        <v>425</v>
      </c>
      <c r="M19" s="2" t="s">
        <v>426</v>
      </c>
      <c r="N19" s="2" t="s">
        <v>427</v>
      </c>
      <c r="O19" s="2" t="s">
        <v>428</v>
      </c>
      <c r="P19" s="2" t="s">
        <v>429</v>
      </c>
      <c r="Q19" s="2" t="s">
        <v>430</v>
      </c>
      <c r="R19" s="2" t="s">
        <v>431</v>
      </c>
      <c r="S19" s="2" t="s">
        <v>432</v>
      </c>
      <c r="T19" s="2" t="s">
        <v>433</v>
      </c>
      <c r="U19" s="2" t="s">
        <v>434</v>
      </c>
      <c r="V19" s="2" t="s">
        <v>435</v>
      </c>
      <c r="W19" s="2" t="s">
        <v>80</v>
      </c>
      <c r="X19" s="4">
        <v>35</v>
      </c>
      <c r="Y19" s="4">
        <v>34</v>
      </c>
      <c r="Z19" s="4">
        <v>34</v>
      </c>
      <c r="AA19" s="4">
        <v>3</v>
      </c>
      <c r="AB19" s="4">
        <v>49</v>
      </c>
      <c r="AC19" s="2" t="s">
        <v>237</v>
      </c>
      <c r="AD19" s="2" t="s">
        <v>115</v>
      </c>
      <c r="AE19" s="2" t="s">
        <v>238</v>
      </c>
      <c r="AF19" s="2" t="s">
        <v>436</v>
      </c>
      <c r="AG19" s="2" t="s">
        <v>437</v>
      </c>
      <c r="AH19" s="2" t="s">
        <v>86</v>
      </c>
      <c r="AI19" s="2" t="s">
        <v>438</v>
      </c>
      <c r="AJ19" s="2" t="s">
        <v>439</v>
      </c>
      <c r="AK19" s="2" t="s">
        <v>440</v>
      </c>
      <c r="AL19" s="4">
        <v>2019</v>
      </c>
      <c r="AM19" s="4">
        <v>146</v>
      </c>
      <c r="AN19" s="2" t="s">
        <v>86</v>
      </c>
      <c r="AO19" s="2" t="s">
        <v>86</v>
      </c>
      <c r="AP19" s="2" t="s">
        <v>86</v>
      </c>
      <c r="AQ19" s="2" t="s">
        <v>86</v>
      </c>
      <c r="AR19" s="2" t="s">
        <v>86</v>
      </c>
      <c r="AS19" s="4">
        <v>678</v>
      </c>
      <c r="AT19" s="4">
        <v>682</v>
      </c>
      <c r="AU19" s="2" t="s">
        <v>86</v>
      </c>
      <c r="AV19" s="2" t="s">
        <v>86</v>
      </c>
      <c r="AW19" s="2" t="s">
        <v>86</v>
      </c>
      <c r="AX19" s="4">
        <v>5</v>
      </c>
      <c r="AY19" s="2" t="s">
        <v>441</v>
      </c>
      <c r="AZ19" s="2" t="s">
        <v>92</v>
      </c>
      <c r="BA19" s="2" t="s">
        <v>442</v>
      </c>
      <c r="BB19" s="2" t="s">
        <v>443</v>
      </c>
      <c r="BC19" s="4">
        <v>31426209</v>
      </c>
      <c r="BD19" s="2" t="s">
        <v>86</v>
      </c>
      <c r="BE19" s="2" t="s">
        <v>86</v>
      </c>
      <c r="BF19" s="2" t="s">
        <v>86</v>
      </c>
      <c r="BG19" s="2" t="s">
        <v>95</v>
      </c>
      <c r="BH19" s="2" t="s">
        <v>444</v>
      </c>
      <c r="BI19" s="2" t="str">
        <f>HYPERLINK("https%3A%2F%2Fwww.webofscience.com%2Fwos%2Fwoscc%2Ffull-record%2FWOS:000488999000078","View Full Record in Web of Science")</f>
        <v>View Full Record in Web of Science</v>
      </c>
    </row>
    <row r="20" spans="1:61" customFormat="1" ht="12.75" x14ac:dyDescent="0.2">
      <c r="A20" s="1">
        <v>16</v>
      </c>
      <c r="B20" s="1" t="s">
        <v>61</v>
      </c>
      <c r="C20" s="1" t="s">
        <v>445</v>
      </c>
      <c r="D20" s="2" t="s">
        <v>446</v>
      </c>
      <c r="E20" s="2" t="s">
        <v>447</v>
      </c>
      <c r="F20" s="3" t="str">
        <f>HYPERLINK("http://dx.doi.org/10.1021/acsestwater.0c00228","http://dx.doi.org/10.1021/acsestwater.0c00228")</f>
        <v>http://dx.doi.org/10.1021/acsestwater.0c00228</v>
      </c>
      <c r="G20" s="2" t="s">
        <v>61</v>
      </c>
      <c r="H20" s="2" t="s">
        <v>448</v>
      </c>
      <c r="I20" s="2" t="s">
        <v>449</v>
      </c>
      <c r="J20" s="2" t="s">
        <v>450</v>
      </c>
      <c r="K20" s="2" t="s">
        <v>68</v>
      </c>
      <c r="L20" s="2" t="s">
        <v>86</v>
      </c>
      <c r="M20" s="2" t="s">
        <v>451</v>
      </c>
      <c r="N20" s="2" t="s">
        <v>452</v>
      </c>
      <c r="O20" s="2" t="s">
        <v>453</v>
      </c>
      <c r="P20" s="2" t="s">
        <v>454</v>
      </c>
      <c r="Q20" s="2" t="s">
        <v>455</v>
      </c>
      <c r="R20" s="2" t="s">
        <v>456</v>
      </c>
      <c r="S20" s="2" t="s">
        <v>457</v>
      </c>
      <c r="T20" s="2" t="s">
        <v>458</v>
      </c>
      <c r="U20" s="2" t="s">
        <v>459</v>
      </c>
      <c r="V20" s="2" t="s">
        <v>460</v>
      </c>
      <c r="W20" s="2" t="s">
        <v>80</v>
      </c>
      <c r="X20" s="4">
        <v>97</v>
      </c>
      <c r="Y20" s="4">
        <v>21</v>
      </c>
      <c r="Z20" s="4">
        <v>20</v>
      </c>
      <c r="AA20" s="4">
        <v>18</v>
      </c>
      <c r="AB20" s="4">
        <v>84</v>
      </c>
      <c r="AC20" s="2" t="s">
        <v>461</v>
      </c>
      <c r="AD20" s="2" t="s">
        <v>462</v>
      </c>
      <c r="AE20" s="2" t="s">
        <v>463</v>
      </c>
      <c r="AF20" s="2" t="s">
        <v>86</v>
      </c>
      <c r="AG20" s="2" t="s">
        <v>464</v>
      </c>
      <c r="AH20" s="2" t="s">
        <v>86</v>
      </c>
      <c r="AI20" s="2" t="s">
        <v>465</v>
      </c>
      <c r="AJ20" s="2" t="s">
        <v>466</v>
      </c>
      <c r="AK20" s="2" t="s">
        <v>467</v>
      </c>
      <c r="AL20" s="4">
        <v>2021</v>
      </c>
      <c r="AM20" s="4">
        <v>1</v>
      </c>
      <c r="AN20" s="4">
        <v>4</v>
      </c>
      <c r="AO20" s="2" t="s">
        <v>86</v>
      </c>
      <c r="AP20" s="2" t="s">
        <v>86</v>
      </c>
      <c r="AQ20" s="2" t="s">
        <v>86</v>
      </c>
      <c r="AR20" s="2" t="s">
        <v>86</v>
      </c>
      <c r="AS20" s="4">
        <v>748</v>
      </c>
      <c r="AT20" s="4">
        <v>764</v>
      </c>
      <c r="AU20" s="2" t="s">
        <v>86</v>
      </c>
      <c r="AV20" s="2" t="s">
        <v>86</v>
      </c>
      <c r="AW20" s="2" t="s">
        <v>468</v>
      </c>
      <c r="AX20" s="4">
        <v>17</v>
      </c>
      <c r="AY20" s="2" t="s">
        <v>469</v>
      </c>
      <c r="AZ20" s="2" t="s">
        <v>171</v>
      </c>
      <c r="BA20" s="2" t="s">
        <v>470</v>
      </c>
      <c r="BB20" s="2" t="s">
        <v>471</v>
      </c>
      <c r="BC20" s="2" t="s">
        <v>86</v>
      </c>
      <c r="BD20" s="2" t="s">
        <v>86</v>
      </c>
      <c r="BE20" s="2" t="s">
        <v>86</v>
      </c>
      <c r="BF20" s="2" t="s">
        <v>86</v>
      </c>
      <c r="BG20" s="2" t="s">
        <v>95</v>
      </c>
      <c r="BH20" s="2" t="s">
        <v>472</v>
      </c>
      <c r="BI20" s="2" t="str">
        <f>HYPERLINK("https%3A%2F%2Fwww.webofscience.com%2Fwos%2Fwoscc%2Ffull-record%2FWOS:000654124800002","View Full Record in Web of Science")</f>
        <v>View Full Record in Web of Science</v>
      </c>
    </row>
    <row r="21" spans="1:61" customFormat="1" ht="12.75" x14ac:dyDescent="0.2">
      <c r="A21" s="1">
        <v>17</v>
      </c>
      <c r="B21" s="1" t="s">
        <v>61</v>
      </c>
      <c r="C21" s="1" t="s">
        <v>473</v>
      </c>
      <c r="D21" s="2" t="s">
        <v>474</v>
      </c>
      <c r="E21" s="2" t="s">
        <v>475</v>
      </c>
      <c r="F21" s="3" t="str">
        <f>HYPERLINK("http://dx.doi.org/10.1016/j.watres.2018.06.015","http://dx.doi.org/10.1016/j.watres.2018.06.015")</f>
        <v>http://dx.doi.org/10.1016/j.watres.2018.06.015</v>
      </c>
      <c r="G21" s="2" t="s">
        <v>61</v>
      </c>
      <c r="H21" s="2" t="s">
        <v>476</v>
      </c>
      <c r="I21" s="2" t="s">
        <v>477</v>
      </c>
      <c r="J21" s="2" t="s">
        <v>478</v>
      </c>
      <c r="K21" s="2" t="s">
        <v>68</v>
      </c>
      <c r="L21" s="2" t="s">
        <v>479</v>
      </c>
      <c r="M21" s="2" t="s">
        <v>480</v>
      </c>
      <c r="N21" s="2" t="s">
        <v>481</v>
      </c>
      <c r="O21" s="2" t="s">
        <v>482</v>
      </c>
      <c r="P21" s="2" t="s">
        <v>483</v>
      </c>
      <c r="Q21" s="2" t="s">
        <v>484</v>
      </c>
      <c r="R21" s="2" t="s">
        <v>485</v>
      </c>
      <c r="S21" s="2" t="s">
        <v>486</v>
      </c>
      <c r="T21" s="2" t="s">
        <v>487</v>
      </c>
      <c r="U21" s="2" t="s">
        <v>488</v>
      </c>
      <c r="V21" s="2" t="s">
        <v>489</v>
      </c>
      <c r="W21" s="2" t="s">
        <v>80</v>
      </c>
      <c r="X21" s="4">
        <v>78</v>
      </c>
      <c r="Y21" s="4">
        <v>298</v>
      </c>
      <c r="Z21" s="4">
        <v>306</v>
      </c>
      <c r="AA21" s="4">
        <v>42</v>
      </c>
      <c r="AB21" s="4">
        <v>739</v>
      </c>
      <c r="AC21" s="2" t="s">
        <v>237</v>
      </c>
      <c r="AD21" s="2" t="s">
        <v>115</v>
      </c>
      <c r="AE21" s="2" t="s">
        <v>238</v>
      </c>
      <c r="AF21" s="2" t="s">
        <v>490</v>
      </c>
      <c r="AG21" s="2" t="s">
        <v>86</v>
      </c>
      <c r="AH21" s="2" t="s">
        <v>86</v>
      </c>
      <c r="AI21" s="2" t="s">
        <v>491</v>
      </c>
      <c r="AJ21" s="2" t="s">
        <v>492</v>
      </c>
      <c r="AK21" s="2" t="s">
        <v>493</v>
      </c>
      <c r="AL21" s="4">
        <v>2018</v>
      </c>
      <c r="AM21" s="4">
        <v>143</v>
      </c>
      <c r="AN21" s="2" t="s">
        <v>86</v>
      </c>
      <c r="AO21" s="2" t="s">
        <v>86</v>
      </c>
      <c r="AP21" s="2" t="s">
        <v>86</v>
      </c>
      <c r="AQ21" s="2" t="s">
        <v>86</v>
      </c>
      <c r="AR21" s="2" t="s">
        <v>86</v>
      </c>
      <c r="AS21" s="4">
        <v>416</v>
      </c>
      <c r="AT21" s="4">
        <v>424</v>
      </c>
      <c r="AU21" s="2" t="s">
        <v>86</v>
      </c>
      <c r="AV21" s="2" t="s">
        <v>86</v>
      </c>
      <c r="AW21" s="2" t="s">
        <v>86</v>
      </c>
      <c r="AX21" s="4">
        <v>9</v>
      </c>
      <c r="AY21" s="2" t="s">
        <v>494</v>
      </c>
      <c r="AZ21" s="2" t="s">
        <v>92</v>
      </c>
      <c r="BA21" s="2" t="s">
        <v>495</v>
      </c>
      <c r="BB21" s="2" t="s">
        <v>496</v>
      </c>
      <c r="BC21" s="4">
        <v>29986250</v>
      </c>
      <c r="BD21" s="2" t="s">
        <v>497</v>
      </c>
      <c r="BE21" s="2" t="s">
        <v>86</v>
      </c>
      <c r="BF21" s="2" t="s">
        <v>86</v>
      </c>
      <c r="BG21" s="2" t="s">
        <v>95</v>
      </c>
      <c r="BH21" s="2" t="s">
        <v>498</v>
      </c>
      <c r="BI21" s="2" t="str">
        <f>HYPERLINK("https%3A%2F%2Fwww.webofscience.com%2Fwos%2Fwoscc%2Ffull-record%2FWOS:000443664000040","View Full Record in Web of Science")</f>
        <v>View Full Record in Web of Science</v>
      </c>
    </row>
    <row r="22" spans="1:61" customFormat="1" ht="12.75" x14ac:dyDescent="0.2">
      <c r="A22" s="1">
        <v>18</v>
      </c>
      <c r="B22" s="1" t="s">
        <v>61</v>
      </c>
      <c r="C22" s="1" t="s">
        <v>499</v>
      </c>
      <c r="D22" s="2" t="s">
        <v>500</v>
      </c>
      <c r="E22" s="2" t="s">
        <v>501</v>
      </c>
      <c r="F22" s="3" t="str">
        <f>HYPERLINK("http://dx.doi.org/10.1007/s10806-019-09785-0","http://dx.doi.org/10.1007/s10806-019-09785-0")</f>
        <v>http://dx.doi.org/10.1007/s10806-019-09785-0</v>
      </c>
      <c r="G22" s="2" t="s">
        <v>200</v>
      </c>
      <c r="H22" s="2" t="s">
        <v>422</v>
      </c>
      <c r="I22" s="2" t="s">
        <v>423</v>
      </c>
      <c r="J22" s="2" t="s">
        <v>502</v>
      </c>
      <c r="K22" s="2" t="s">
        <v>68</v>
      </c>
      <c r="L22" s="2" t="s">
        <v>503</v>
      </c>
      <c r="M22" s="2" t="s">
        <v>504</v>
      </c>
      <c r="N22" s="2" t="s">
        <v>505</v>
      </c>
      <c r="O22" s="2" t="s">
        <v>428</v>
      </c>
      <c r="P22" s="2" t="s">
        <v>506</v>
      </c>
      <c r="Q22" s="2" t="s">
        <v>430</v>
      </c>
      <c r="R22" s="2" t="s">
        <v>431</v>
      </c>
      <c r="S22" s="2" t="s">
        <v>432</v>
      </c>
      <c r="T22" s="2" t="s">
        <v>433</v>
      </c>
      <c r="U22" s="2" t="s">
        <v>434</v>
      </c>
      <c r="V22" s="2" t="s">
        <v>507</v>
      </c>
      <c r="W22" s="2" t="s">
        <v>80</v>
      </c>
      <c r="X22" s="4">
        <v>97</v>
      </c>
      <c r="Y22" s="4">
        <v>31</v>
      </c>
      <c r="Z22" s="4">
        <v>31</v>
      </c>
      <c r="AA22" s="4">
        <v>7</v>
      </c>
      <c r="AB22" s="4">
        <v>70</v>
      </c>
      <c r="AC22" s="2" t="s">
        <v>139</v>
      </c>
      <c r="AD22" s="2" t="s">
        <v>140</v>
      </c>
      <c r="AE22" s="2" t="s">
        <v>141</v>
      </c>
      <c r="AF22" s="2" t="s">
        <v>508</v>
      </c>
      <c r="AG22" s="2" t="s">
        <v>509</v>
      </c>
      <c r="AH22" s="2" t="s">
        <v>86</v>
      </c>
      <c r="AI22" s="2" t="s">
        <v>510</v>
      </c>
      <c r="AJ22" s="2" t="s">
        <v>511</v>
      </c>
      <c r="AK22" s="2" t="s">
        <v>342</v>
      </c>
      <c r="AL22" s="4">
        <v>2019</v>
      </c>
      <c r="AM22" s="4">
        <v>32</v>
      </c>
      <c r="AN22" s="4">
        <v>3</v>
      </c>
      <c r="AO22" s="2" t="s">
        <v>86</v>
      </c>
      <c r="AP22" s="2" t="s">
        <v>86</v>
      </c>
      <c r="AQ22" s="2" t="s">
        <v>86</v>
      </c>
      <c r="AR22" s="2" t="s">
        <v>86</v>
      </c>
      <c r="AS22" s="4">
        <v>459</v>
      </c>
      <c r="AT22" s="4">
        <v>478</v>
      </c>
      <c r="AU22" s="2" t="s">
        <v>86</v>
      </c>
      <c r="AV22" s="2" t="s">
        <v>86</v>
      </c>
      <c r="AW22" s="2" t="s">
        <v>86</v>
      </c>
      <c r="AX22" s="4">
        <v>20</v>
      </c>
      <c r="AY22" s="2" t="s">
        <v>512</v>
      </c>
      <c r="AZ22" s="2" t="s">
        <v>513</v>
      </c>
      <c r="BA22" s="2" t="s">
        <v>514</v>
      </c>
      <c r="BB22" s="2" t="s">
        <v>515</v>
      </c>
      <c r="BC22" s="2" t="s">
        <v>86</v>
      </c>
      <c r="BD22" s="2" t="s">
        <v>86</v>
      </c>
      <c r="BE22" s="2" t="s">
        <v>86</v>
      </c>
      <c r="BF22" s="2" t="s">
        <v>86</v>
      </c>
      <c r="BG22" s="2" t="s">
        <v>95</v>
      </c>
      <c r="BH22" s="2" t="s">
        <v>516</v>
      </c>
      <c r="BI22" s="2" t="str">
        <f>HYPERLINK("https%3A%2F%2Fwww.webofscience.com%2Fwos%2Fwoscc%2Ffull-record%2FWOS:000474414000008","View Full Record in Web of Science")</f>
        <v>View Full Record in Web of Science</v>
      </c>
    </row>
    <row r="23" spans="1:61" customFormat="1" ht="12.75" x14ac:dyDescent="0.2">
      <c r="A23" s="1">
        <v>19</v>
      </c>
      <c r="B23" s="1" t="s">
        <v>61</v>
      </c>
      <c r="C23" s="1" t="s">
        <v>517</v>
      </c>
      <c r="D23" s="2" t="s">
        <v>518</v>
      </c>
      <c r="E23" s="2" t="s">
        <v>519</v>
      </c>
      <c r="F23" s="3" t="str">
        <f>HYPERLINK("http://dx.doi.org/10.3390/su14010020","http://dx.doi.org/10.3390/su14010020")</f>
        <v>http://dx.doi.org/10.3390/su14010020</v>
      </c>
      <c r="G23" s="2" t="s">
        <v>200</v>
      </c>
      <c r="H23" s="2" t="s">
        <v>520</v>
      </c>
      <c r="I23" s="2" t="s">
        <v>521</v>
      </c>
      <c r="J23" s="2" t="s">
        <v>522</v>
      </c>
      <c r="K23" s="2" t="s">
        <v>68</v>
      </c>
      <c r="L23" s="2" t="s">
        <v>523</v>
      </c>
      <c r="M23" s="2" t="s">
        <v>524</v>
      </c>
      <c r="N23" s="2" t="s">
        <v>525</v>
      </c>
      <c r="O23" s="2" t="s">
        <v>526</v>
      </c>
      <c r="P23" s="2" t="s">
        <v>527</v>
      </c>
      <c r="Q23" s="2" t="s">
        <v>528</v>
      </c>
      <c r="R23" s="2" t="s">
        <v>529</v>
      </c>
      <c r="S23" s="2" t="s">
        <v>530</v>
      </c>
      <c r="T23" s="2" t="s">
        <v>86</v>
      </c>
      <c r="U23" s="2" t="s">
        <v>86</v>
      </c>
      <c r="V23" s="2" t="s">
        <v>86</v>
      </c>
      <c r="W23" s="2" t="s">
        <v>80</v>
      </c>
      <c r="X23" s="4">
        <v>308</v>
      </c>
      <c r="Y23" s="4">
        <v>25</v>
      </c>
      <c r="Z23" s="4">
        <v>25</v>
      </c>
      <c r="AA23" s="4">
        <v>29</v>
      </c>
      <c r="AB23" s="4">
        <v>99</v>
      </c>
      <c r="AC23" s="2" t="s">
        <v>211</v>
      </c>
      <c r="AD23" s="2" t="s">
        <v>212</v>
      </c>
      <c r="AE23" s="2" t="s">
        <v>213</v>
      </c>
      <c r="AF23" s="2" t="s">
        <v>86</v>
      </c>
      <c r="AG23" s="2" t="s">
        <v>531</v>
      </c>
      <c r="AH23" s="2" t="s">
        <v>86</v>
      </c>
      <c r="AI23" s="2" t="s">
        <v>532</v>
      </c>
      <c r="AJ23" s="2" t="s">
        <v>533</v>
      </c>
      <c r="AK23" s="2" t="s">
        <v>534</v>
      </c>
      <c r="AL23" s="4">
        <v>2022</v>
      </c>
      <c r="AM23" s="4">
        <v>14</v>
      </c>
      <c r="AN23" s="4">
        <v>1</v>
      </c>
      <c r="AO23" s="2" t="s">
        <v>86</v>
      </c>
      <c r="AP23" s="2" t="s">
        <v>86</v>
      </c>
      <c r="AQ23" s="2" t="s">
        <v>86</v>
      </c>
      <c r="AR23" s="2" t="s">
        <v>86</v>
      </c>
      <c r="AS23" s="2" t="s">
        <v>86</v>
      </c>
      <c r="AT23" s="2" t="s">
        <v>86</v>
      </c>
      <c r="AU23" s="4">
        <v>20</v>
      </c>
      <c r="AV23" s="2" t="s">
        <v>86</v>
      </c>
      <c r="AW23" s="2" t="s">
        <v>86</v>
      </c>
      <c r="AX23" s="4">
        <v>48</v>
      </c>
      <c r="AY23" s="2" t="s">
        <v>535</v>
      </c>
      <c r="AZ23" s="2" t="s">
        <v>536</v>
      </c>
      <c r="BA23" s="2" t="s">
        <v>537</v>
      </c>
      <c r="BB23" s="2" t="s">
        <v>538</v>
      </c>
      <c r="BC23" s="2" t="s">
        <v>86</v>
      </c>
      <c r="BD23" s="2" t="s">
        <v>539</v>
      </c>
      <c r="BE23" s="2" t="s">
        <v>86</v>
      </c>
      <c r="BF23" s="2" t="s">
        <v>86</v>
      </c>
      <c r="BG23" s="2" t="s">
        <v>95</v>
      </c>
      <c r="BH23" s="2" t="s">
        <v>540</v>
      </c>
      <c r="BI23" s="2" t="str">
        <f>HYPERLINK("https%3A%2F%2Fwww.webofscience.com%2Fwos%2Fwoscc%2Ffull-record%2FWOS:000751157400001","View Full Record in Web of Science")</f>
        <v>View Full Record in Web of Science</v>
      </c>
    </row>
    <row r="24" spans="1:61" customFormat="1" ht="12.75" x14ac:dyDescent="0.2">
      <c r="A24" s="1">
        <v>20</v>
      </c>
      <c r="B24" s="1" t="s">
        <v>61</v>
      </c>
      <c r="C24" s="1" t="s">
        <v>541</v>
      </c>
      <c r="D24" s="2" t="s">
        <v>542</v>
      </c>
      <c r="E24" s="2" t="s">
        <v>86</v>
      </c>
      <c r="F24" s="2" t="s">
        <v>86</v>
      </c>
      <c r="G24" s="2" t="s">
        <v>176</v>
      </c>
      <c r="H24" s="2" t="s">
        <v>543</v>
      </c>
      <c r="I24" s="2" t="s">
        <v>544</v>
      </c>
      <c r="J24" s="2" t="s">
        <v>179</v>
      </c>
      <c r="K24" s="2" t="s">
        <v>68</v>
      </c>
      <c r="L24" s="2" t="s">
        <v>545</v>
      </c>
      <c r="M24" s="2" t="s">
        <v>86</v>
      </c>
      <c r="N24" s="2" t="s">
        <v>546</v>
      </c>
      <c r="O24" s="2" t="s">
        <v>86</v>
      </c>
      <c r="P24" s="2" t="s">
        <v>547</v>
      </c>
      <c r="Q24" s="2" t="s">
        <v>548</v>
      </c>
      <c r="R24" s="2" t="s">
        <v>86</v>
      </c>
      <c r="S24" s="2" t="s">
        <v>86</v>
      </c>
      <c r="T24" s="2" t="s">
        <v>86</v>
      </c>
      <c r="U24" s="2" t="s">
        <v>86</v>
      </c>
      <c r="V24" s="2" t="s">
        <v>86</v>
      </c>
      <c r="W24" s="2" t="s">
        <v>188</v>
      </c>
      <c r="X24" s="4">
        <v>18</v>
      </c>
      <c r="Y24" s="4">
        <v>1</v>
      </c>
      <c r="Z24" s="4">
        <v>1</v>
      </c>
      <c r="AA24" s="4">
        <v>1</v>
      </c>
      <c r="AB24" s="4">
        <v>2</v>
      </c>
      <c r="AC24" s="2" t="s">
        <v>189</v>
      </c>
      <c r="AD24" s="2" t="s">
        <v>165</v>
      </c>
      <c r="AE24" s="2" t="s">
        <v>190</v>
      </c>
      <c r="AF24" s="2" t="s">
        <v>86</v>
      </c>
      <c r="AG24" s="2" t="s">
        <v>86</v>
      </c>
      <c r="AH24" s="2" t="s">
        <v>191</v>
      </c>
      <c r="AI24" s="2" t="s">
        <v>192</v>
      </c>
      <c r="AJ24" s="2" t="s">
        <v>86</v>
      </c>
      <c r="AK24" s="2" t="s">
        <v>86</v>
      </c>
      <c r="AL24" s="4">
        <v>2020</v>
      </c>
      <c r="AM24" s="4">
        <v>56</v>
      </c>
      <c r="AN24" s="2" t="s">
        <v>86</v>
      </c>
      <c r="AO24" s="2" t="s">
        <v>86</v>
      </c>
      <c r="AP24" s="2" t="s">
        <v>86</v>
      </c>
      <c r="AQ24" s="2" t="s">
        <v>86</v>
      </c>
      <c r="AR24" s="2" t="s">
        <v>86</v>
      </c>
      <c r="AS24" s="4">
        <v>344</v>
      </c>
      <c r="AT24" s="4">
        <v>361</v>
      </c>
      <c r="AU24" s="2" t="s">
        <v>86</v>
      </c>
      <c r="AV24" s="2" t="s">
        <v>86</v>
      </c>
      <c r="AW24" s="2" t="s">
        <v>86</v>
      </c>
      <c r="AX24" s="4">
        <v>18</v>
      </c>
      <c r="AY24" s="2" t="s">
        <v>193</v>
      </c>
      <c r="AZ24" s="2" t="s">
        <v>194</v>
      </c>
      <c r="BA24" s="2" t="s">
        <v>93</v>
      </c>
      <c r="BB24" s="2" t="s">
        <v>195</v>
      </c>
      <c r="BC24" s="2" t="s">
        <v>86</v>
      </c>
      <c r="BD24" s="2" t="s">
        <v>86</v>
      </c>
      <c r="BE24" s="2" t="s">
        <v>86</v>
      </c>
      <c r="BF24" s="2" t="s">
        <v>86</v>
      </c>
      <c r="BG24" s="2" t="s">
        <v>95</v>
      </c>
      <c r="BH24" s="2" t="s">
        <v>549</v>
      </c>
      <c r="BI24" s="2" t="str">
        <f>HYPERLINK("https%3A%2F%2Fwww.webofscience.com%2Fwos%2Fwoscc%2Ffull-record%2FWOS:000637180200028","View Full Record in Web of Science")</f>
        <v>View Full Record in Web of Science</v>
      </c>
    </row>
    <row r="25" spans="1:61" customFormat="1" ht="12.75" x14ac:dyDescent="0.2">
      <c r="A25" s="1">
        <v>21</v>
      </c>
      <c r="B25" s="1" t="s">
        <v>61</v>
      </c>
      <c r="C25" s="1" t="s">
        <v>550</v>
      </c>
      <c r="D25" s="2" t="s">
        <v>551</v>
      </c>
      <c r="E25" s="2" t="s">
        <v>552</v>
      </c>
      <c r="F25" s="3" t="str">
        <f>HYPERLINK("http://dx.doi.org/10.1080/10934529.2022.2082222","http://dx.doi.org/10.1080/10934529.2022.2082222")</f>
        <v>http://dx.doi.org/10.1080/10934529.2022.2082222</v>
      </c>
      <c r="G25" s="2" t="s">
        <v>61</v>
      </c>
      <c r="H25" s="2" t="s">
        <v>553</v>
      </c>
      <c r="I25" s="2" t="s">
        <v>554</v>
      </c>
      <c r="J25" s="2" t="s">
        <v>555</v>
      </c>
      <c r="K25" s="2" t="s">
        <v>68</v>
      </c>
      <c r="L25" s="2" t="s">
        <v>556</v>
      </c>
      <c r="M25" s="2" t="s">
        <v>557</v>
      </c>
      <c r="N25" s="2" t="s">
        <v>558</v>
      </c>
      <c r="O25" s="2" t="s">
        <v>559</v>
      </c>
      <c r="P25" s="2" t="s">
        <v>560</v>
      </c>
      <c r="Q25" s="2" t="s">
        <v>561</v>
      </c>
      <c r="R25" s="2" t="s">
        <v>86</v>
      </c>
      <c r="S25" s="2" t="s">
        <v>86</v>
      </c>
      <c r="T25" s="2" t="s">
        <v>86</v>
      </c>
      <c r="U25" s="2" t="s">
        <v>86</v>
      </c>
      <c r="V25" s="2" t="s">
        <v>86</v>
      </c>
      <c r="W25" s="2" t="s">
        <v>80</v>
      </c>
      <c r="X25" s="4">
        <v>59</v>
      </c>
      <c r="Y25" s="4">
        <v>8</v>
      </c>
      <c r="Z25" s="4">
        <v>8</v>
      </c>
      <c r="AA25" s="4">
        <v>29</v>
      </c>
      <c r="AB25" s="4">
        <v>88</v>
      </c>
      <c r="AC25" s="2" t="s">
        <v>260</v>
      </c>
      <c r="AD25" s="2" t="s">
        <v>261</v>
      </c>
      <c r="AE25" s="2" t="s">
        <v>262</v>
      </c>
      <c r="AF25" s="2" t="s">
        <v>562</v>
      </c>
      <c r="AG25" s="2" t="s">
        <v>563</v>
      </c>
      <c r="AH25" s="2" t="s">
        <v>86</v>
      </c>
      <c r="AI25" s="2" t="s">
        <v>564</v>
      </c>
      <c r="AJ25" s="2" t="s">
        <v>565</v>
      </c>
      <c r="AK25" s="2" t="s">
        <v>566</v>
      </c>
      <c r="AL25" s="4">
        <v>2022</v>
      </c>
      <c r="AM25" s="4">
        <v>57</v>
      </c>
      <c r="AN25" s="4">
        <v>7</v>
      </c>
      <c r="AO25" s="2" t="s">
        <v>86</v>
      </c>
      <c r="AP25" s="2" t="s">
        <v>86</v>
      </c>
      <c r="AQ25" s="2" t="s">
        <v>86</v>
      </c>
      <c r="AR25" s="2" t="s">
        <v>86</v>
      </c>
      <c r="AS25" s="4">
        <v>519</v>
      </c>
      <c r="AT25" s="4">
        <v>539</v>
      </c>
      <c r="AU25" s="2" t="s">
        <v>86</v>
      </c>
      <c r="AV25" s="2" t="s">
        <v>86</v>
      </c>
      <c r="AW25" s="2" t="s">
        <v>343</v>
      </c>
      <c r="AX25" s="4">
        <v>21</v>
      </c>
      <c r="AY25" s="2" t="s">
        <v>567</v>
      </c>
      <c r="AZ25" s="2" t="s">
        <v>92</v>
      </c>
      <c r="BA25" s="2" t="s">
        <v>568</v>
      </c>
      <c r="BB25" s="2" t="s">
        <v>569</v>
      </c>
      <c r="BC25" s="4">
        <v>35657775</v>
      </c>
      <c r="BD25" s="2" t="s">
        <v>86</v>
      </c>
      <c r="BE25" s="2" t="s">
        <v>86</v>
      </c>
      <c r="BF25" s="2" t="s">
        <v>86</v>
      </c>
      <c r="BG25" s="2" t="s">
        <v>95</v>
      </c>
      <c r="BH25" s="2" t="s">
        <v>570</v>
      </c>
      <c r="BI25" s="2" t="str">
        <f>HYPERLINK("https%3A%2F%2Fwww.webofscience.com%2Fwos%2Fwoscc%2Ffull-record%2FWOS:000805749200001","View Full Record in Web of Science")</f>
        <v>View Full Record in Web of Science</v>
      </c>
    </row>
    <row r="26" spans="1:61" customFormat="1" ht="12.75" x14ac:dyDescent="0.2">
      <c r="A26" s="1">
        <v>22</v>
      </c>
      <c r="B26" s="1" t="s">
        <v>61</v>
      </c>
      <c r="C26" s="1" t="s">
        <v>571</v>
      </c>
      <c r="D26" s="2" t="s">
        <v>572</v>
      </c>
      <c r="E26" s="2" t="s">
        <v>573</v>
      </c>
      <c r="F26" s="3" t="str">
        <f>HYPERLINK("http://dx.doi.org/10.1016/j.scitotenv.2023.163866","http://dx.doi.org/10.1016/j.scitotenv.2023.163866")</f>
        <v>http://dx.doi.org/10.1016/j.scitotenv.2023.163866</v>
      </c>
      <c r="G26" s="2" t="s">
        <v>61</v>
      </c>
      <c r="H26" s="2" t="s">
        <v>574</v>
      </c>
      <c r="I26" s="2" t="s">
        <v>575</v>
      </c>
      <c r="J26" s="2" t="s">
        <v>576</v>
      </c>
      <c r="K26" s="2" t="s">
        <v>68</v>
      </c>
      <c r="L26" s="2" t="s">
        <v>577</v>
      </c>
      <c r="M26" s="2" t="s">
        <v>578</v>
      </c>
      <c r="N26" s="2" t="s">
        <v>579</v>
      </c>
      <c r="O26" s="2" t="s">
        <v>580</v>
      </c>
      <c r="P26" s="2" t="s">
        <v>581</v>
      </c>
      <c r="Q26" s="2" t="s">
        <v>582</v>
      </c>
      <c r="R26" s="2" t="s">
        <v>583</v>
      </c>
      <c r="S26" s="2" t="s">
        <v>584</v>
      </c>
      <c r="T26" s="2" t="s">
        <v>86</v>
      </c>
      <c r="U26" s="2" t="s">
        <v>86</v>
      </c>
      <c r="V26" s="2" t="s">
        <v>86</v>
      </c>
      <c r="W26" s="2" t="s">
        <v>80</v>
      </c>
      <c r="X26" s="4">
        <v>104</v>
      </c>
      <c r="Y26" s="4">
        <v>1</v>
      </c>
      <c r="Z26" s="4">
        <v>1</v>
      </c>
      <c r="AA26" s="4">
        <v>27</v>
      </c>
      <c r="AB26" s="4">
        <v>27</v>
      </c>
      <c r="AC26" s="2" t="s">
        <v>585</v>
      </c>
      <c r="AD26" s="2" t="s">
        <v>586</v>
      </c>
      <c r="AE26" s="2" t="s">
        <v>587</v>
      </c>
      <c r="AF26" s="2" t="s">
        <v>588</v>
      </c>
      <c r="AG26" s="2" t="s">
        <v>589</v>
      </c>
      <c r="AH26" s="2" t="s">
        <v>86</v>
      </c>
      <c r="AI26" s="2" t="s">
        <v>590</v>
      </c>
      <c r="AJ26" s="2" t="s">
        <v>591</v>
      </c>
      <c r="AK26" s="2" t="s">
        <v>592</v>
      </c>
      <c r="AL26" s="4">
        <v>2023</v>
      </c>
      <c r="AM26" s="4">
        <v>884</v>
      </c>
      <c r="AN26" s="2" t="s">
        <v>86</v>
      </c>
      <c r="AO26" s="2" t="s">
        <v>86</v>
      </c>
      <c r="AP26" s="2" t="s">
        <v>86</v>
      </c>
      <c r="AQ26" s="2" t="s">
        <v>86</v>
      </c>
      <c r="AR26" s="2" t="s">
        <v>86</v>
      </c>
      <c r="AS26" s="2" t="s">
        <v>86</v>
      </c>
      <c r="AT26" s="2" t="s">
        <v>86</v>
      </c>
      <c r="AU26" s="4">
        <v>163866</v>
      </c>
      <c r="AV26" s="2" t="s">
        <v>86</v>
      </c>
      <c r="AW26" s="2" t="s">
        <v>593</v>
      </c>
      <c r="AX26" s="4">
        <v>14</v>
      </c>
      <c r="AY26" s="2" t="s">
        <v>91</v>
      </c>
      <c r="AZ26" s="2" t="s">
        <v>92</v>
      </c>
      <c r="BA26" s="2" t="s">
        <v>93</v>
      </c>
      <c r="BB26" s="2" t="s">
        <v>594</v>
      </c>
      <c r="BC26" s="4">
        <v>37142004</v>
      </c>
      <c r="BD26" s="2" t="s">
        <v>86</v>
      </c>
      <c r="BE26" s="2" t="s">
        <v>86</v>
      </c>
      <c r="BF26" s="2" t="s">
        <v>86</v>
      </c>
      <c r="BG26" s="2" t="s">
        <v>95</v>
      </c>
      <c r="BH26" s="2" t="s">
        <v>595</v>
      </c>
      <c r="BI26" s="2" t="str">
        <f>HYPERLINK("https%3A%2F%2Fwww.webofscience.com%2Fwos%2Fwoscc%2Ffull-record%2FWOS:001005757700001","View Full Record in Web of Science")</f>
        <v>View Full Record in Web of Science</v>
      </c>
    </row>
    <row r="27" spans="1:61" customFormat="1" ht="12.75" x14ac:dyDescent="0.2">
      <c r="A27" s="1">
        <v>23</v>
      </c>
      <c r="B27" s="1" t="s">
        <v>61</v>
      </c>
      <c r="C27" s="1" t="s">
        <v>596</v>
      </c>
      <c r="D27" s="2" t="s">
        <v>597</v>
      </c>
      <c r="E27" s="2" t="s">
        <v>598</v>
      </c>
      <c r="F27" s="3" t="str">
        <f>HYPERLINK("http://dx.doi.org/10.2166/wst.2023.022","http://dx.doi.org/10.2166/wst.2023.022")</f>
        <v>http://dx.doi.org/10.2166/wst.2023.022</v>
      </c>
      <c r="G27" s="2" t="s">
        <v>200</v>
      </c>
      <c r="H27" s="2" t="s">
        <v>574</v>
      </c>
      <c r="I27" s="2" t="s">
        <v>575</v>
      </c>
      <c r="J27" s="2" t="s">
        <v>599</v>
      </c>
      <c r="K27" s="2" t="s">
        <v>68</v>
      </c>
      <c r="L27" s="2" t="s">
        <v>600</v>
      </c>
      <c r="M27" s="2" t="s">
        <v>601</v>
      </c>
      <c r="N27" s="2" t="s">
        <v>602</v>
      </c>
      <c r="O27" s="2" t="s">
        <v>580</v>
      </c>
      <c r="P27" s="2" t="s">
        <v>603</v>
      </c>
      <c r="Q27" s="2" t="s">
        <v>582</v>
      </c>
      <c r="R27" s="2" t="s">
        <v>583</v>
      </c>
      <c r="S27" s="2" t="s">
        <v>584</v>
      </c>
      <c r="T27" s="2" t="s">
        <v>86</v>
      </c>
      <c r="U27" s="2" t="s">
        <v>86</v>
      </c>
      <c r="V27" s="2" t="s">
        <v>86</v>
      </c>
      <c r="W27" s="2" t="s">
        <v>80</v>
      </c>
      <c r="X27" s="4">
        <v>117</v>
      </c>
      <c r="Y27" s="4">
        <v>3</v>
      </c>
      <c r="Z27" s="4">
        <v>3</v>
      </c>
      <c r="AA27" s="4">
        <v>27</v>
      </c>
      <c r="AB27" s="4">
        <v>27</v>
      </c>
      <c r="AC27" s="2" t="s">
        <v>604</v>
      </c>
      <c r="AD27" s="2" t="s">
        <v>605</v>
      </c>
      <c r="AE27" s="2" t="s">
        <v>606</v>
      </c>
      <c r="AF27" s="2" t="s">
        <v>607</v>
      </c>
      <c r="AG27" s="2" t="s">
        <v>608</v>
      </c>
      <c r="AH27" s="2" t="s">
        <v>86</v>
      </c>
      <c r="AI27" s="2" t="s">
        <v>609</v>
      </c>
      <c r="AJ27" s="2" t="s">
        <v>610</v>
      </c>
      <c r="AK27" s="2" t="s">
        <v>611</v>
      </c>
      <c r="AL27" s="4">
        <v>2023</v>
      </c>
      <c r="AM27" s="4">
        <v>87</v>
      </c>
      <c r="AN27" s="4">
        <v>3</v>
      </c>
      <c r="AO27" s="2" t="s">
        <v>86</v>
      </c>
      <c r="AP27" s="2" t="s">
        <v>86</v>
      </c>
      <c r="AQ27" s="2" t="s">
        <v>86</v>
      </c>
      <c r="AR27" s="2" t="s">
        <v>86</v>
      </c>
      <c r="AS27" s="4">
        <v>685</v>
      </c>
      <c r="AT27" s="4">
        <v>710</v>
      </c>
      <c r="AU27" s="2" t="s">
        <v>86</v>
      </c>
      <c r="AV27" s="2" t="s">
        <v>86</v>
      </c>
      <c r="AW27" s="2" t="s">
        <v>612</v>
      </c>
      <c r="AX27" s="4">
        <v>26</v>
      </c>
      <c r="AY27" s="2" t="s">
        <v>494</v>
      </c>
      <c r="AZ27" s="2" t="s">
        <v>92</v>
      </c>
      <c r="BA27" s="2" t="s">
        <v>495</v>
      </c>
      <c r="BB27" s="2" t="s">
        <v>613</v>
      </c>
      <c r="BC27" s="4">
        <v>36789712</v>
      </c>
      <c r="BD27" s="2" t="s">
        <v>321</v>
      </c>
      <c r="BE27" s="2" t="s">
        <v>86</v>
      </c>
      <c r="BF27" s="2" t="s">
        <v>86</v>
      </c>
      <c r="BG27" s="2" t="s">
        <v>95</v>
      </c>
      <c r="BH27" s="2" t="s">
        <v>614</v>
      </c>
      <c r="BI27" s="2" t="str">
        <f>HYPERLINK("https%3A%2F%2Fwww.webofscience.com%2Fwos%2Fwoscc%2Ffull-record%2FWOS:000924944400001","View Full Record in Web of Science")</f>
        <v>View Full Record in Web of Science</v>
      </c>
    </row>
    <row r="28" spans="1:61" customFormat="1" ht="12.75" x14ac:dyDescent="0.2">
      <c r="A28" s="1">
        <v>24</v>
      </c>
      <c r="B28" s="1" t="s">
        <v>61</v>
      </c>
      <c r="C28" s="1" t="s">
        <v>615</v>
      </c>
      <c r="D28" s="2" t="s">
        <v>616</v>
      </c>
      <c r="E28" s="2" t="s">
        <v>617</v>
      </c>
      <c r="F28" s="3" t="str">
        <f>HYPERLINK("http://dx.doi.org/10.4194/1303-2712-v20_8_07","http://dx.doi.org/10.4194/1303-2712-v20_8_07")</f>
        <v>http://dx.doi.org/10.4194/1303-2712-v20_8_07</v>
      </c>
      <c r="G28" s="2" t="s">
        <v>61</v>
      </c>
      <c r="H28" s="2" t="s">
        <v>618</v>
      </c>
      <c r="I28" s="2" t="s">
        <v>619</v>
      </c>
      <c r="J28" s="2" t="s">
        <v>620</v>
      </c>
      <c r="K28" s="2" t="s">
        <v>68</v>
      </c>
      <c r="L28" s="2" t="s">
        <v>621</v>
      </c>
      <c r="M28" s="2" t="s">
        <v>622</v>
      </c>
      <c r="N28" s="2" t="s">
        <v>623</v>
      </c>
      <c r="O28" s="2" t="s">
        <v>624</v>
      </c>
      <c r="P28" s="2" t="s">
        <v>625</v>
      </c>
      <c r="Q28" s="2" t="s">
        <v>626</v>
      </c>
      <c r="R28" s="2" t="s">
        <v>627</v>
      </c>
      <c r="S28" s="2" t="s">
        <v>628</v>
      </c>
      <c r="T28" s="2" t="s">
        <v>86</v>
      </c>
      <c r="U28" s="2" t="s">
        <v>86</v>
      </c>
      <c r="V28" s="2" t="s">
        <v>86</v>
      </c>
      <c r="W28" s="2" t="s">
        <v>80</v>
      </c>
      <c r="X28" s="4">
        <v>102</v>
      </c>
      <c r="Y28" s="4">
        <v>13</v>
      </c>
      <c r="Z28" s="4">
        <v>13</v>
      </c>
      <c r="AA28" s="4">
        <v>15</v>
      </c>
      <c r="AB28" s="4">
        <v>141</v>
      </c>
      <c r="AC28" s="2" t="s">
        <v>629</v>
      </c>
      <c r="AD28" s="2" t="s">
        <v>630</v>
      </c>
      <c r="AE28" s="2" t="s">
        <v>631</v>
      </c>
      <c r="AF28" s="2" t="s">
        <v>632</v>
      </c>
      <c r="AG28" s="2" t="s">
        <v>633</v>
      </c>
      <c r="AH28" s="2" t="s">
        <v>86</v>
      </c>
      <c r="AI28" s="2" t="s">
        <v>634</v>
      </c>
      <c r="AJ28" s="2" t="s">
        <v>635</v>
      </c>
      <c r="AK28" s="2" t="s">
        <v>636</v>
      </c>
      <c r="AL28" s="4">
        <v>2020</v>
      </c>
      <c r="AM28" s="4">
        <v>20</v>
      </c>
      <c r="AN28" s="4">
        <v>8</v>
      </c>
      <c r="AO28" s="2" t="s">
        <v>86</v>
      </c>
      <c r="AP28" s="2" t="s">
        <v>86</v>
      </c>
      <c r="AQ28" s="2" t="s">
        <v>86</v>
      </c>
      <c r="AR28" s="2" t="s">
        <v>86</v>
      </c>
      <c r="AS28" s="4">
        <v>647</v>
      </c>
      <c r="AT28" s="4">
        <v>658</v>
      </c>
      <c r="AU28" s="2" t="s">
        <v>86</v>
      </c>
      <c r="AV28" s="2" t="s">
        <v>86</v>
      </c>
      <c r="AW28" s="2" t="s">
        <v>86</v>
      </c>
      <c r="AX28" s="4">
        <v>12</v>
      </c>
      <c r="AY28" s="2" t="s">
        <v>319</v>
      </c>
      <c r="AZ28" s="2" t="s">
        <v>92</v>
      </c>
      <c r="BA28" s="2" t="s">
        <v>319</v>
      </c>
      <c r="BB28" s="2" t="s">
        <v>637</v>
      </c>
      <c r="BC28" s="2" t="s">
        <v>86</v>
      </c>
      <c r="BD28" s="2" t="s">
        <v>321</v>
      </c>
      <c r="BE28" s="2" t="s">
        <v>86</v>
      </c>
      <c r="BF28" s="2" t="s">
        <v>86</v>
      </c>
      <c r="BG28" s="2" t="s">
        <v>95</v>
      </c>
      <c r="BH28" s="2" t="s">
        <v>638</v>
      </c>
      <c r="BI28" s="2" t="str">
        <f>HYPERLINK("https%3A%2F%2Fwww.webofscience.com%2Fwos%2Fwoscc%2Ffull-record%2FWOS:000535144400007","View Full Record in Web of Science")</f>
        <v>View Full Record in Web of Science</v>
      </c>
    </row>
    <row r="29" spans="1:61" customFormat="1" ht="12.75" x14ac:dyDescent="0.2">
      <c r="A29" s="1">
        <v>25</v>
      </c>
      <c r="B29" s="1" t="s">
        <v>61</v>
      </c>
      <c r="C29" s="1" t="s">
        <v>639</v>
      </c>
      <c r="D29" s="2" t="s">
        <v>640</v>
      </c>
      <c r="E29" s="2" t="s">
        <v>641</v>
      </c>
      <c r="F29" s="3" t="str">
        <f>HYPERLINK("http://dx.doi.org/10.1007/s11869-022-01272-2","http://dx.doi.org/10.1007/s11869-022-01272-2")</f>
        <v>http://dx.doi.org/10.1007/s11869-022-01272-2</v>
      </c>
      <c r="G29" s="2" t="s">
        <v>642</v>
      </c>
      <c r="H29" s="2" t="s">
        <v>643</v>
      </c>
      <c r="I29" s="2" t="s">
        <v>644</v>
      </c>
      <c r="J29" s="2" t="s">
        <v>130</v>
      </c>
      <c r="K29" s="2" t="s">
        <v>68</v>
      </c>
      <c r="L29" s="2" t="s">
        <v>645</v>
      </c>
      <c r="M29" s="2" t="s">
        <v>646</v>
      </c>
      <c r="N29" s="2" t="s">
        <v>647</v>
      </c>
      <c r="O29" s="2" t="s">
        <v>648</v>
      </c>
      <c r="P29" s="2" t="s">
        <v>649</v>
      </c>
      <c r="Q29" s="2" t="s">
        <v>650</v>
      </c>
      <c r="R29" s="2" t="s">
        <v>651</v>
      </c>
      <c r="S29" s="2" t="s">
        <v>652</v>
      </c>
      <c r="T29" s="2" t="s">
        <v>653</v>
      </c>
      <c r="U29" s="2" t="s">
        <v>654</v>
      </c>
      <c r="V29" s="2" t="s">
        <v>655</v>
      </c>
      <c r="W29" s="2" t="s">
        <v>80</v>
      </c>
      <c r="X29" s="4">
        <v>253</v>
      </c>
      <c r="Y29" s="4">
        <v>3</v>
      </c>
      <c r="Z29" s="4">
        <v>3</v>
      </c>
      <c r="AA29" s="4">
        <v>14</v>
      </c>
      <c r="AB29" s="4">
        <v>41</v>
      </c>
      <c r="AC29" s="2" t="s">
        <v>139</v>
      </c>
      <c r="AD29" s="2" t="s">
        <v>140</v>
      </c>
      <c r="AE29" s="2" t="s">
        <v>141</v>
      </c>
      <c r="AF29" s="2" t="s">
        <v>142</v>
      </c>
      <c r="AG29" s="2" t="s">
        <v>143</v>
      </c>
      <c r="AH29" s="2" t="s">
        <v>86</v>
      </c>
      <c r="AI29" s="2" t="s">
        <v>144</v>
      </c>
      <c r="AJ29" s="2" t="s">
        <v>145</v>
      </c>
      <c r="AK29" s="2" t="s">
        <v>656</v>
      </c>
      <c r="AL29" s="4">
        <v>2022</v>
      </c>
      <c r="AM29" s="2" t="s">
        <v>86</v>
      </c>
      <c r="AN29" s="2" t="s">
        <v>86</v>
      </c>
      <c r="AO29" s="2" t="s">
        <v>86</v>
      </c>
      <c r="AP29" s="2" t="s">
        <v>86</v>
      </c>
      <c r="AQ29" s="2" t="s">
        <v>86</v>
      </c>
      <c r="AR29" s="2" t="s">
        <v>86</v>
      </c>
      <c r="AS29" s="2" t="s">
        <v>86</v>
      </c>
      <c r="AT29" s="2" t="s">
        <v>86</v>
      </c>
      <c r="AU29" s="2" t="s">
        <v>86</v>
      </c>
      <c r="AV29" s="2" t="s">
        <v>86</v>
      </c>
      <c r="AW29" s="2" t="s">
        <v>657</v>
      </c>
      <c r="AX29" s="4">
        <v>30</v>
      </c>
      <c r="AY29" s="2" t="s">
        <v>91</v>
      </c>
      <c r="AZ29" s="2" t="s">
        <v>92</v>
      </c>
      <c r="BA29" s="2" t="s">
        <v>93</v>
      </c>
      <c r="BB29" s="2" t="s">
        <v>658</v>
      </c>
      <c r="BC29" s="4">
        <v>36276170</v>
      </c>
      <c r="BD29" s="2" t="s">
        <v>659</v>
      </c>
      <c r="BE29" s="2" t="s">
        <v>86</v>
      </c>
      <c r="BF29" s="2" t="s">
        <v>86</v>
      </c>
      <c r="BG29" s="2" t="s">
        <v>95</v>
      </c>
      <c r="BH29" s="2" t="s">
        <v>660</v>
      </c>
      <c r="BI29" s="2" t="str">
        <f>HYPERLINK("https%3A%2F%2Fwww.webofscience.com%2Fwos%2Fwoscc%2Ffull-record%2FWOS:000868957900002","View Full Record in Web of Science")</f>
        <v>View Full Record in Web of Science</v>
      </c>
    </row>
    <row r="30" spans="1:61" customFormat="1" ht="12.75" x14ac:dyDescent="0.2">
      <c r="A30" s="1">
        <v>26</v>
      </c>
      <c r="B30" s="1" t="s">
        <v>61</v>
      </c>
      <c r="C30" s="1" t="s">
        <v>661</v>
      </c>
      <c r="D30" s="2" t="s">
        <v>662</v>
      </c>
      <c r="E30" s="2" t="s">
        <v>663</v>
      </c>
      <c r="F30" s="3" t="str">
        <f>HYPERLINK("http://dx.doi.org/10.1080/009083190519500","http://dx.doi.org/10.1080/009083190519500")</f>
        <v>http://dx.doi.org/10.1080/009083190519500</v>
      </c>
      <c r="G30" s="2" t="s">
        <v>200</v>
      </c>
      <c r="H30" s="2" t="s">
        <v>664</v>
      </c>
      <c r="I30" s="2" t="s">
        <v>664</v>
      </c>
      <c r="J30" s="2" t="s">
        <v>665</v>
      </c>
      <c r="K30" s="2" t="s">
        <v>68</v>
      </c>
      <c r="L30" s="2" t="s">
        <v>666</v>
      </c>
      <c r="M30" s="2" t="s">
        <v>86</v>
      </c>
      <c r="N30" s="2" t="s">
        <v>667</v>
      </c>
      <c r="O30" s="2" t="s">
        <v>668</v>
      </c>
      <c r="P30" s="2" t="s">
        <v>669</v>
      </c>
      <c r="Q30" s="2" t="s">
        <v>670</v>
      </c>
      <c r="R30" s="2" t="s">
        <v>86</v>
      </c>
      <c r="S30" s="2" t="s">
        <v>86</v>
      </c>
      <c r="T30" s="2" t="s">
        <v>86</v>
      </c>
      <c r="U30" s="2" t="s">
        <v>86</v>
      </c>
      <c r="V30" s="2" t="s">
        <v>86</v>
      </c>
      <c r="W30" s="2" t="s">
        <v>80</v>
      </c>
      <c r="X30" s="4">
        <v>9</v>
      </c>
      <c r="Y30" s="4">
        <v>24</v>
      </c>
      <c r="Z30" s="4">
        <v>25</v>
      </c>
      <c r="AA30" s="4">
        <v>3</v>
      </c>
      <c r="AB30" s="4">
        <v>32</v>
      </c>
      <c r="AC30" s="2" t="s">
        <v>260</v>
      </c>
      <c r="AD30" s="2" t="s">
        <v>261</v>
      </c>
      <c r="AE30" s="2" t="s">
        <v>671</v>
      </c>
      <c r="AF30" s="2" t="s">
        <v>672</v>
      </c>
      <c r="AG30" s="2" t="s">
        <v>86</v>
      </c>
      <c r="AH30" s="2" t="s">
        <v>86</v>
      </c>
      <c r="AI30" s="2" t="s">
        <v>673</v>
      </c>
      <c r="AJ30" s="2" t="s">
        <v>674</v>
      </c>
      <c r="AK30" s="2" t="s">
        <v>675</v>
      </c>
      <c r="AL30" s="4">
        <v>2005</v>
      </c>
      <c r="AM30" s="4">
        <v>27</v>
      </c>
      <c r="AN30" s="4">
        <v>14</v>
      </c>
      <c r="AO30" s="2" t="s">
        <v>86</v>
      </c>
      <c r="AP30" s="2" t="s">
        <v>86</v>
      </c>
      <c r="AQ30" s="2" t="s">
        <v>86</v>
      </c>
      <c r="AR30" s="2" t="s">
        <v>86</v>
      </c>
      <c r="AS30" s="4">
        <v>1313</v>
      </c>
      <c r="AT30" s="4">
        <v>1319</v>
      </c>
      <c r="AU30" s="2" t="s">
        <v>86</v>
      </c>
      <c r="AV30" s="2" t="s">
        <v>86</v>
      </c>
      <c r="AW30" s="2" t="s">
        <v>86</v>
      </c>
      <c r="AX30" s="4">
        <v>7</v>
      </c>
      <c r="AY30" s="2" t="s">
        <v>676</v>
      </c>
      <c r="AZ30" s="2" t="s">
        <v>92</v>
      </c>
      <c r="BA30" s="2" t="s">
        <v>677</v>
      </c>
      <c r="BB30" s="2" t="s">
        <v>678</v>
      </c>
      <c r="BC30" s="2" t="s">
        <v>86</v>
      </c>
      <c r="BD30" s="2" t="s">
        <v>86</v>
      </c>
      <c r="BE30" s="2" t="s">
        <v>86</v>
      </c>
      <c r="BF30" s="2" t="s">
        <v>86</v>
      </c>
      <c r="BG30" s="2" t="s">
        <v>95</v>
      </c>
      <c r="BH30" s="2" t="s">
        <v>679</v>
      </c>
      <c r="BI30" s="2" t="str">
        <f>HYPERLINK("https%3A%2F%2Fwww.webofscience.com%2Fwos%2Fwoscc%2Ffull-record%2FWOS:000232467600003","View Full Record in Web of Science")</f>
        <v>View Full Record in Web of Science</v>
      </c>
    </row>
    <row r="31" spans="1:61" customFormat="1" ht="12.75" x14ac:dyDescent="0.2">
      <c r="A31" s="1">
        <v>27</v>
      </c>
      <c r="B31" s="1" t="s">
        <v>61</v>
      </c>
      <c r="C31" s="1" t="s">
        <v>680</v>
      </c>
      <c r="D31" s="2" t="s">
        <v>86</v>
      </c>
      <c r="E31" s="2" t="s">
        <v>681</v>
      </c>
      <c r="F31" s="3" t="str">
        <f>HYPERLINK("http://dx.doi.org/10.1093/jdh/epac054","http://dx.doi.org/10.1093/jdh/epac054")</f>
        <v>http://dx.doi.org/10.1093/jdh/epac054</v>
      </c>
      <c r="G31" s="2" t="s">
        <v>682</v>
      </c>
      <c r="H31" s="2" t="s">
        <v>683</v>
      </c>
      <c r="I31" s="2" t="s">
        <v>684</v>
      </c>
      <c r="J31" s="2" t="s">
        <v>685</v>
      </c>
      <c r="K31" s="2" t="s">
        <v>68</v>
      </c>
      <c r="L31" s="2" t="s">
        <v>86</v>
      </c>
      <c r="M31" s="2" t="s">
        <v>86</v>
      </c>
      <c r="N31" s="2" t="s">
        <v>686</v>
      </c>
      <c r="O31" s="2" t="s">
        <v>687</v>
      </c>
      <c r="P31" s="2" t="s">
        <v>688</v>
      </c>
      <c r="Q31" s="2" t="s">
        <v>689</v>
      </c>
      <c r="R31" s="2" t="s">
        <v>86</v>
      </c>
      <c r="S31" s="2" t="s">
        <v>86</v>
      </c>
      <c r="T31" s="2" t="s">
        <v>86</v>
      </c>
      <c r="U31" s="2" t="s">
        <v>86</v>
      </c>
      <c r="V31" s="2" t="s">
        <v>86</v>
      </c>
      <c r="W31" s="2" t="s">
        <v>80</v>
      </c>
      <c r="X31" s="4">
        <v>1</v>
      </c>
      <c r="Y31" s="4">
        <v>0</v>
      </c>
      <c r="Z31" s="4">
        <v>0</v>
      </c>
      <c r="AA31" s="4">
        <v>3</v>
      </c>
      <c r="AB31" s="4">
        <v>3</v>
      </c>
      <c r="AC31" s="2" t="s">
        <v>690</v>
      </c>
      <c r="AD31" s="2" t="s">
        <v>115</v>
      </c>
      <c r="AE31" s="2" t="s">
        <v>691</v>
      </c>
      <c r="AF31" s="2" t="s">
        <v>692</v>
      </c>
      <c r="AG31" s="2" t="s">
        <v>693</v>
      </c>
      <c r="AH31" s="2" t="s">
        <v>86</v>
      </c>
      <c r="AI31" s="2" t="s">
        <v>694</v>
      </c>
      <c r="AJ31" s="2" t="s">
        <v>695</v>
      </c>
      <c r="AK31" s="2" t="s">
        <v>696</v>
      </c>
      <c r="AL31" s="4">
        <v>2023</v>
      </c>
      <c r="AM31" s="2" t="s">
        <v>86</v>
      </c>
      <c r="AN31" s="2" t="s">
        <v>86</v>
      </c>
      <c r="AO31" s="2" t="s">
        <v>86</v>
      </c>
      <c r="AP31" s="2" t="s">
        <v>86</v>
      </c>
      <c r="AQ31" s="2" t="s">
        <v>86</v>
      </c>
      <c r="AR31" s="2" t="s">
        <v>86</v>
      </c>
      <c r="AS31" s="2" t="s">
        <v>86</v>
      </c>
      <c r="AT31" s="2" t="s">
        <v>86</v>
      </c>
      <c r="AU31" s="2" t="s">
        <v>86</v>
      </c>
      <c r="AV31" s="2" t="s">
        <v>86</v>
      </c>
      <c r="AW31" s="2" t="s">
        <v>612</v>
      </c>
      <c r="AX31" s="4">
        <v>3</v>
      </c>
      <c r="AY31" s="2" t="s">
        <v>697</v>
      </c>
      <c r="AZ31" s="2" t="s">
        <v>698</v>
      </c>
      <c r="BA31" s="2" t="s">
        <v>697</v>
      </c>
      <c r="BB31" s="2" t="s">
        <v>699</v>
      </c>
      <c r="BC31" s="2" t="s">
        <v>86</v>
      </c>
      <c r="BD31" s="2" t="s">
        <v>86</v>
      </c>
      <c r="BE31" s="2" t="s">
        <v>86</v>
      </c>
      <c r="BF31" s="2" t="s">
        <v>86</v>
      </c>
      <c r="BG31" s="2" t="s">
        <v>95</v>
      </c>
      <c r="BH31" s="2" t="s">
        <v>700</v>
      </c>
      <c r="BI31" s="2" t="str">
        <f>HYPERLINK("https%3A%2F%2Fwww.webofscience.com%2Fwos%2Fwoscc%2Ffull-record%2FWOS:000923504100001","View Full Record in Web of Science")</f>
        <v>View Full Record in Web of Science</v>
      </c>
    </row>
    <row r="32" spans="1:61" customFormat="1" ht="12.75" x14ac:dyDescent="0.2">
      <c r="A32" s="1">
        <v>28</v>
      </c>
      <c r="B32" s="1" t="s">
        <v>61</v>
      </c>
      <c r="C32" s="1" t="s">
        <v>701</v>
      </c>
      <c r="D32" s="2" t="s">
        <v>702</v>
      </c>
      <c r="E32" s="2" t="s">
        <v>703</v>
      </c>
      <c r="F32" s="3" t="str">
        <f>HYPERLINK("http://dx.doi.org/10.3390/ijerph17113842","http://dx.doi.org/10.3390/ijerph17113842")</f>
        <v>http://dx.doi.org/10.3390/ijerph17113842</v>
      </c>
      <c r="G32" s="2" t="s">
        <v>61</v>
      </c>
      <c r="H32" s="2" t="s">
        <v>704</v>
      </c>
      <c r="I32" s="2" t="s">
        <v>705</v>
      </c>
      <c r="J32" s="2" t="s">
        <v>706</v>
      </c>
      <c r="K32" s="2" t="s">
        <v>68</v>
      </c>
      <c r="L32" s="2" t="s">
        <v>707</v>
      </c>
      <c r="M32" s="2" t="s">
        <v>708</v>
      </c>
      <c r="N32" s="2" t="s">
        <v>709</v>
      </c>
      <c r="O32" s="2" t="s">
        <v>710</v>
      </c>
      <c r="P32" s="2" t="s">
        <v>711</v>
      </c>
      <c r="Q32" s="2" t="s">
        <v>712</v>
      </c>
      <c r="R32" s="2" t="s">
        <v>713</v>
      </c>
      <c r="S32" s="2" t="s">
        <v>714</v>
      </c>
      <c r="T32" s="2" t="s">
        <v>715</v>
      </c>
      <c r="U32" s="2" t="s">
        <v>715</v>
      </c>
      <c r="V32" s="2" t="s">
        <v>716</v>
      </c>
      <c r="W32" s="2" t="s">
        <v>80</v>
      </c>
      <c r="X32" s="4">
        <v>109</v>
      </c>
      <c r="Y32" s="4">
        <v>93</v>
      </c>
      <c r="Z32" s="4">
        <v>94</v>
      </c>
      <c r="AA32" s="4">
        <v>16</v>
      </c>
      <c r="AB32" s="4">
        <v>102</v>
      </c>
      <c r="AC32" s="2" t="s">
        <v>211</v>
      </c>
      <c r="AD32" s="2" t="s">
        <v>212</v>
      </c>
      <c r="AE32" s="2" t="s">
        <v>213</v>
      </c>
      <c r="AF32" s="2" t="s">
        <v>86</v>
      </c>
      <c r="AG32" s="2" t="s">
        <v>717</v>
      </c>
      <c r="AH32" s="2" t="s">
        <v>86</v>
      </c>
      <c r="AI32" s="2" t="s">
        <v>718</v>
      </c>
      <c r="AJ32" s="2" t="s">
        <v>719</v>
      </c>
      <c r="AK32" s="2" t="s">
        <v>342</v>
      </c>
      <c r="AL32" s="4">
        <v>2020</v>
      </c>
      <c r="AM32" s="4">
        <v>17</v>
      </c>
      <c r="AN32" s="4">
        <v>11</v>
      </c>
      <c r="AO32" s="2" t="s">
        <v>86</v>
      </c>
      <c r="AP32" s="2" t="s">
        <v>86</v>
      </c>
      <c r="AQ32" s="2" t="s">
        <v>86</v>
      </c>
      <c r="AR32" s="2" t="s">
        <v>86</v>
      </c>
      <c r="AS32" s="2" t="s">
        <v>86</v>
      </c>
      <c r="AT32" s="2" t="s">
        <v>86</v>
      </c>
      <c r="AU32" s="4">
        <v>3842</v>
      </c>
      <c r="AV32" s="2" t="s">
        <v>86</v>
      </c>
      <c r="AW32" s="2" t="s">
        <v>86</v>
      </c>
      <c r="AX32" s="4">
        <v>21</v>
      </c>
      <c r="AY32" s="2" t="s">
        <v>720</v>
      </c>
      <c r="AZ32" s="2" t="s">
        <v>536</v>
      </c>
      <c r="BA32" s="2" t="s">
        <v>721</v>
      </c>
      <c r="BB32" s="2" t="s">
        <v>722</v>
      </c>
      <c r="BC32" s="4">
        <v>32481700</v>
      </c>
      <c r="BD32" s="2" t="s">
        <v>723</v>
      </c>
      <c r="BE32" s="2" t="s">
        <v>86</v>
      </c>
      <c r="BF32" s="2" t="s">
        <v>86</v>
      </c>
      <c r="BG32" s="2" t="s">
        <v>95</v>
      </c>
      <c r="BH32" s="2" t="s">
        <v>724</v>
      </c>
      <c r="BI32" s="2" t="str">
        <f>HYPERLINK("https%3A%2F%2Fwww.webofscience.com%2Fwos%2Fwoscc%2Ffull-record%2FWOS:000542629600095","View Full Record in Web of Science")</f>
        <v>View Full Record in Web of Science</v>
      </c>
    </row>
    <row r="33" spans="1:61" customFormat="1" ht="12.75" x14ac:dyDescent="0.2">
      <c r="A33" s="1">
        <v>29</v>
      </c>
      <c r="B33" s="1" t="s">
        <v>61</v>
      </c>
      <c r="C33" s="1" t="s">
        <v>725</v>
      </c>
      <c r="D33" s="2" t="s">
        <v>726</v>
      </c>
      <c r="E33" s="2" t="s">
        <v>727</v>
      </c>
      <c r="F33" s="3" t="str">
        <f>HYPERLINK("http://dx.doi.org/10.1016/j.psep.2020.08.039","http://dx.doi.org/10.1016/j.psep.2020.08.039")</f>
        <v>http://dx.doi.org/10.1016/j.psep.2020.08.039</v>
      </c>
      <c r="G33" s="2" t="s">
        <v>61</v>
      </c>
      <c r="H33" s="2" t="s">
        <v>728</v>
      </c>
      <c r="I33" s="2" t="s">
        <v>729</v>
      </c>
      <c r="J33" s="2" t="s">
        <v>730</v>
      </c>
      <c r="K33" s="2" t="s">
        <v>68</v>
      </c>
      <c r="L33" s="2" t="s">
        <v>731</v>
      </c>
      <c r="M33" s="2" t="s">
        <v>732</v>
      </c>
      <c r="N33" s="2" t="s">
        <v>733</v>
      </c>
      <c r="O33" s="2" t="s">
        <v>134</v>
      </c>
      <c r="P33" s="2" t="s">
        <v>734</v>
      </c>
      <c r="Q33" s="2" t="s">
        <v>735</v>
      </c>
      <c r="R33" s="2" t="s">
        <v>86</v>
      </c>
      <c r="S33" s="2" t="s">
        <v>736</v>
      </c>
      <c r="T33" s="2" t="s">
        <v>737</v>
      </c>
      <c r="U33" s="2" t="s">
        <v>434</v>
      </c>
      <c r="V33" s="2" t="s">
        <v>738</v>
      </c>
      <c r="W33" s="2" t="s">
        <v>80</v>
      </c>
      <c r="X33" s="4">
        <v>76</v>
      </c>
      <c r="Y33" s="4">
        <v>46</v>
      </c>
      <c r="Z33" s="4">
        <v>47</v>
      </c>
      <c r="AA33" s="4">
        <v>48</v>
      </c>
      <c r="AB33" s="4">
        <v>295</v>
      </c>
      <c r="AC33" s="2" t="s">
        <v>585</v>
      </c>
      <c r="AD33" s="2" t="s">
        <v>586</v>
      </c>
      <c r="AE33" s="2" t="s">
        <v>587</v>
      </c>
      <c r="AF33" s="2" t="s">
        <v>739</v>
      </c>
      <c r="AG33" s="2" t="s">
        <v>740</v>
      </c>
      <c r="AH33" s="2" t="s">
        <v>86</v>
      </c>
      <c r="AI33" s="2" t="s">
        <v>741</v>
      </c>
      <c r="AJ33" s="2" t="s">
        <v>742</v>
      </c>
      <c r="AK33" s="2" t="s">
        <v>146</v>
      </c>
      <c r="AL33" s="4">
        <v>2021</v>
      </c>
      <c r="AM33" s="4">
        <v>146</v>
      </c>
      <c r="AN33" s="2" t="s">
        <v>86</v>
      </c>
      <c r="AO33" s="2" t="s">
        <v>86</v>
      </c>
      <c r="AP33" s="2" t="s">
        <v>86</v>
      </c>
      <c r="AQ33" s="2" t="s">
        <v>86</v>
      </c>
      <c r="AR33" s="2" t="s">
        <v>86</v>
      </c>
      <c r="AS33" s="4">
        <v>77</v>
      </c>
      <c r="AT33" s="4">
        <v>84</v>
      </c>
      <c r="AU33" s="2" t="s">
        <v>86</v>
      </c>
      <c r="AV33" s="2" t="s">
        <v>86</v>
      </c>
      <c r="AW33" s="2" t="s">
        <v>86</v>
      </c>
      <c r="AX33" s="4">
        <v>8</v>
      </c>
      <c r="AY33" s="2" t="s">
        <v>344</v>
      </c>
      <c r="AZ33" s="2" t="s">
        <v>92</v>
      </c>
      <c r="BA33" s="2" t="s">
        <v>345</v>
      </c>
      <c r="BB33" s="2" t="s">
        <v>743</v>
      </c>
      <c r="BC33" s="2" t="s">
        <v>86</v>
      </c>
      <c r="BD33" s="2" t="s">
        <v>86</v>
      </c>
      <c r="BE33" s="2" t="s">
        <v>86</v>
      </c>
      <c r="BF33" s="2" t="s">
        <v>86</v>
      </c>
      <c r="BG33" s="2" t="s">
        <v>95</v>
      </c>
      <c r="BH33" s="2" t="s">
        <v>744</v>
      </c>
      <c r="BI33" s="2" t="str">
        <f>HYPERLINK("https%3A%2F%2Fwww.webofscience.com%2Fwos%2Fwoscc%2Ffull-record%2FWOS:000613226900008","View Full Record in Web of Science")</f>
        <v>View Full Record in Web of Science</v>
      </c>
    </row>
    <row r="34" spans="1:61" customFormat="1" ht="12.75" x14ac:dyDescent="0.2">
      <c r="A34" s="1">
        <v>30</v>
      </c>
      <c r="B34" s="1" t="s">
        <v>61</v>
      </c>
      <c r="C34" s="1" t="s">
        <v>745</v>
      </c>
      <c r="D34" s="2" t="s">
        <v>746</v>
      </c>
      <c r="E34" s="2" t="s">
        <v>747</v>
      </c>
      <c r="F34" s="3" t="str">
        <f>HYPERLINK("http://dx.doi.org/10.1016/j.chemosphere.2022.135867","http://dx.doi.org/10.1016/j.chemosphere.2022.135867")</f>
        <v>http://dx.doi.org/10.1016/j.chemosphere.2022.135867</v>
      </c>
      <c r="G34" s="2" t="s">
        <v>200</v>
      </c>
      <c r="H34" s="2" t="s">
        <v>748</v>
      </c>
      <c r="I34" s="2" t="s">
        <v>749</v>
      </c>
      <c r="J34" s="2" t="s">
        <v>227</v>
      </c>
      <c r="K34" s="2" t="s">
        <v>68</v>
      </c>
      <c r="L34" s="2" t="s">
        <v>750</v>
      </c>
      <c r="M34" s="2" t="s">
        <v>751</v>
      </c>
      <c r="N34" s="2" t="s">
        <v>752</v>
      </c>
      <c r="O34" s="2" t="s">
        <v>753</v>
      </c>
      <c r="P34" s="2" t="s">
        <v>754</v>
      </c>
      <c r="Q34" s="2" t="s">
        <v>755</v>
      </c>
      <c r="R34" s="2" t="s">
        <v>756</v>
      </c>
      <c r="S34" s="2" t="s">
        <v>757</v>
      </c>
      <c r="T34" s="2" t="s">
        <v>86</v>
      </c>
      <c r="U34" s="2" t="s">
        <v>86</v>
      </c>
      <c r="V34" s="2" t="s">
        <v>86</v>
      </c>
      <c r="W34" s="2" t="s">
        <v>80</v>
      </c>
      <c r="X34" s="4">
        <v>86</v>
      </c>
      <c r="Y34" s="4">
        <v>13</v>
      </c>
      <c r="Z34" s="4">
        <v>13</v>
      </c>
      <c r="AA34" s="4">
        <v>19</v>
      </c>
      <c r="AB34" s="4">
        <v>43</v>
      </c>
      <c r="AC34" s="2" t="s">
        <v>237</v>
      </c>
      <c r="AD34" s="2" t="s">
        <v>115</v>
      </c>
      <c r="AE34" s="2" t="s">
        <v>238</v>
      </c>
      <c r="AF34" s="2" t="s">
        <v>239</v>
      </c>
      <c r="AG34" s="2" t="s">
        <v>240</v>
      </c>
      <c r="AH34" s="2" t="s">
        <v>86</v>
      </c>
      <c r="AI34" s="2" t="s">
        <v>227</v>
      </c>
      <c r="AJ34" s="2" t="s">
        <v>241</v>
      </c>
      <c r="AK34" s="2" t="s">
        <v>217</v>
      </c>
      <c r="AL34" s="4">
        <v>2022</v>
      </c>
      <c r="AM34" s="4">
        <v>308</v>
      </c>
      <c r="AN34" s="2" t="s">
        <v>86</v>
      </c>
      <c r="AO34" s="4">
        <v>1</v>
      </c>
      <c r="AP34" s="2" t="s">
        <v>86</v>
      </c>
      <c r="AQ34" s="2" t="s">
        <v>86</v>
      </c>
      <c r="AR34" s="2" t="s">
        <v>86</v>
      </c>
      <c r="AS34" s="2" t="s">
        <v>86</v>
      </c>
      <c r="AT34" s="2" t="s">
        <v>86</v>
      </c>
      <c r="AU34" s="4">
        <v>135867</v>
      </c>
      <c r="AV34" s="2" t="s">
        <v>86</v>
      </c>
      <c r="AW34" s="2" t="s">
        <v>294</v>
      </c>
      <c r="AX34" s="4">
        <v>12</v>
      </c>
      <c r="AY34" s="2" t="s">
        <v>91</v>
      </c>
      <c r="AZ34" s="2" t="s">
        <v>92</v>
      </c>
      <c r="BA34" s="2" t="s">
        <v>93</v>
      </c>
      <c r="BB34" s="2" t="s">
        <v>758</v>
      </c>
      <c r="BC34" s="4">
        <v>35998732</v>
      </c>
      <c r="BD34" s="2" t="s">
        <v>86</v>
      </c>
      <c r="BE34" s="2" t="s">
        <v>86</v>
      </c>
      <c r="BF34" s="2" t="s">
        <v>86</v>
      </c>
      <c r="BG34" s="2" t="s">
        <v>95</v>
      </c>
      <c r="BH34" s="2" t="s">
        <v>759</v>
      </c>
      <c r="BI34" s="2" t="str">
        <f>HYPERLINK("https%3A%2F%2Fwww.webofscience.com%2Fwos%2Fwoscc%2Ffull-record%2FWOS:000862937200007","View Full Record in Web of Science")</f>
        <v>View Full Record in Web of Science</v>
      </c>
    </row>
    <row r="35" spans="1:61" customFormat="1" ht="12.75" x14ac:dyDescent="0.2">
      <c r="A35" s="1">
        <v>31</v>
      </c>
      <c r="B35" s="1" t="s">
        <v>61</v>
      </c>
      <c r="C35" s="1" t="s">
        <v>760</v>
      </c>
      <c r="D35" s="2" t="s">
        <v>761</v>
      </c>
      <c r="E35" s="2" t="s">
        <v>762</v>
      </c>
      <c r="F35" s="3" t="str">
        <f>HYPERLINK("http://dx.doi.org/10.1016/j.jclepro.2021.129394","http://dx.doi.org/10.1016/j.jclepro.2021.129394")</f>
        <v>http://dx.doi.org/10.1016/j.jclepro.2021.129394</v>
      </c>
      <c r="G35" s="2" t="s">
        <v>200</v>
      </c>
      <c r="H35" s="2" t="s">
        <v>728</v>
      </c>
      <c r="I35" s="2" t="s">
        <v>729</v>
      </c>
      <c r="J35" s="2" t="s">
        <v>376</v>
      </c>
      <c r="K35" s="2" t="s">
        <v>68</v>
      </c>
      <c r="L35" s="2" t="s">
        <v>763</v>
      </c>
      <c r="M35" s="2" t="s">
        <v>764</v>
      </c>
      <c r="N35" s="2" t="s">
        <v>733</v>
      </c>
      <c r="O35" s="2" t="s">
        <v>134</v>
      </c>
      <c r="P35" s="2" t="s">
        <v>734</v>
      </c>
      <c r="Q35" s="2" t="s">
        <v>765</v>
      </c>
      <c r="R35" s="2" t="s">
        <v>86</v>
      </c>
      <c r="S35" s="2" t="s">
        <v>86</v>
      </c>
      <c r="T35" s="2" t="s">
        <v>737</v>
      </c>
      <c r="U35" s="2" t="s">
        <v>434</v>
      </c>
      <c r="V35" s="2" t="s">
        <v>766</v>
      </c>
      <c r="W35" s="2" t="s">
        <v>80</v>
      </c>
      <c r="X35" s="4">
        <v>139</v>
      </c>
      <c r="Y35" s="4">
        <v>6</v>
      </c>
      <c r="Z35" s="4">
        <v>6</v>
      </c>
      <c r="AA35" s="4">
        <v>6</v>
      </c>
      <c r="AB35" s="4">
        <v>30</v>
      </c>
      <c r="AC35" s="2" t="s">
        <v>114</v>
      </c>
      <c r="AD35" s="2" t="s">
        <v>115</v>
      </c>
      <c r="AE35" s="2" t="s">
        <v>116</v>
      </c>
      <c r="AF35" s="2" t="s">
        <v>386</v>
      </c>
      <c r="AG35" s="2" t="s">
        <v>387</v>
      </c>
      <c r="AH35" s="2" t="s">
        <v>86</v>
      </c>
      <c r="AI35" s="2" t="s">
        <v>388</v>
      </c>
      <c r="AJ35" s="2" t="s">
        <v>389</v>
      </c>
      <c r="AK35" s="2" t="s">
        <v>767</v>
      </c>
      <c r="AL35" s="4">
        <v>2021</v>
      </c>
      <c r="AM35" s="4">
        <v>327</v>
      </c>
      <c r="AN35" s="2" t="s">
        <v>86</v>
      </c>
      <c r="AO35" s="2" t="s">
        <v>86</v>
      </c>
      <c r="AP35" s="2" t="s">
        <v>86</v>
      </c>
      <c r="AQ35" s="2" t="s">
        <v>86</v>
      </c>
      <c r="AR35" s="2" t="s">
        <v>86</v>
      </c>
      <c r="AS35" s="2" t="s">
        <v>86</v>
      </c>
      <c r="AT35" s="2" t="s">
        <v>86</v>
      </c>
      <c r="AU35" s="4">
        <v>129394</v>
      </c>
      <c r="AV35" s="2" t="s">
        <v>86</v>
      </c>
      <c r="AW35" s="2" t="s">
        <v>242</v>
      </c>
      <c r="AX35" s="4">
        <v>12</v>
      </c>
      <c r="AY35" s="2" t="s">
        <v>392</v>
      </c>
      <c r="AZ35" s="2" t="s">
        <v>92</v>
      </c>
      <c r="BA35" s="2" t="s">
        <v>393</v>
      </c>
      <c r="BB35" s="2" t="s">
        <v>768</v>
      </c>
      <c r="BC35" s="2" t="s">
        <v>86</v>
      </c>
      <c r="BD35" s="2" t="s">
        <v>86</v>
      </c>
      <c r="BE35" s="2" t="s">
        <v>86</v>
      </c>
      <c r="BF35" s="2" t="s">
        <v>86</v>
      </c>
      <c r="BG35" s="2" t="s">
        <v>95</v>
      </c>
      <c r="BH35" s="2" t="s">
        <v>769</v>
      </c>
      <c r="BI35" s="2" t="str">
        <f>HYPERLINK("https%3A%2F%2Fwww.webofscience.com%2Fwos%2Fwoscc%2Ffull-record%2FWOS:000735847700005","View Full Record in Web of Science")</f>
        <v>View Full Record in Web of Science</v>
      </c>
    </row>
    <row r="36" spans="1:61" customFormat="1" ht="12.75" x14ac:dyDescent="0.2">
      <c r="A36" s="1">
        <v>32</v>
      </c>
      <c r="B36" s="1" t="s">
        <v>61</v>
      </c>
      <c r="C36" s="1" t="s">
        <v>770</v>
      </c>
      <c r="D36" s="2" t="s">
        <v>86</v>
      </c>
      <c r="E36" s="2" t="s">
        <v>771</v>
      </c>
      <c r="F36" s="3" t="str">
        <f>HYPERLINK("http://dx.doi.org/10.3389/fmars.2022.1066113","http://dx.doi.org/10.3389/fmars.2022.1066113")</f>
        <v>http://dx.doi.org/10.3389/fmars.2022.1066113</v>
      </c>
      <c r="G36" s="2" t="s">
        <v>772</v>
      </c>
      <c r="H36" s="2" t="s">
        <v>773</v>
      </c>
      <c r="I36" s="2" t="s">
        <v>774</v>
      </c>
      <c r="J36" s="2" t="s">
        <v>775</v>
      </c>
      <c r="K36" s="2" t="s">
        <v>68</v>
      </c>
      <c r="L36" s="2" t="s">
        <v>776</v>
      </c>
      <c r="M36" s="2" t="s">
        <v>86</v>
      </c>
      <c r="N36" s="2" t="s">
        <v>777</v>
      </c>
      <c r="O36" s="2" t="s">
        <v>778</v>
      </c>
      <c r="P36" s="2" t="s">
        <v>779</v>
      </c>
      <c r="Q36" s="2" t="s">
        <v>74</v>
      </c>
      <c r="R36" s="2" t="s">
        <v>780</v>
      </c>
      <c r="S36" s="2" t="s">
        <v>781</v>
      </c>
      <c r="T36" s="2" t="s">
        <v>86</v>
      </c>
      <c r="U36" s="2" t="s">
        <v>86</v>
      </c>
      <c r="V36" s="2" t="s">
        <v>86</v>
      </c>
      <c r="W36" s="2" t="s">
        <v>80</v>
      </c>
      <c r="X36" s="4">
        <v>8</v>
      </c>
      <c r="Y36" s="4">
        <v>1</v>
      </c>
      <c r="Z36" s="4">
        <v>1</v>
      </c>
      <c r="AA36" s="4">
        <v>12</v>
      </c>
      <c r="AB36" s="4">
        <v>15</v>
      </c>
      <c r="AC36" s="2" t="s">
        <v>782</v>
      </c>
      <c r="AD36" s="2" t="s">
        <v>783</v>
      </c>
      <c r="AE36" s="2" t="s">
        <v>784</v>
      </c>
      <c r="AF36" s="2" t="s">
        <v>86</v>
      </c>
      <c r="AG36" s="2" t="s">
        <v>785</v>
      </c>
      <c r="AH36" s="2" t="s">
        <v>86</v>
      </c>
      <c r="AI36" s="2" t="s">
        <v>786</v>
      </c>
      <c r="AJ36" s="2" t="s">
        <v>787</v>
      </c>
      <c r="AK36" s="2" t="s">
        <v>788</v>
      </c>
      <c r="AL36" s="4">
        <v>2022</v>
      </c>
      <c r="AM36" s="4">
        <v>9</v>
      </c>
      <c r="AN36" s="2" t="s">
        <v>86</v>
      </c>
      <c r="AO36" s="2" t="s">
        <v>86</v>
      </c>
      <c r="AP36" s="2" t="s">
        <v>86</v>
      </c>
      <c r="AQ36" s="2" t="s">
        <v>86</v>
      </c>
      <c r="AR36" s="2" t="s">
        <v>86</v>
      </c>
      <c r="AS36" s="2" t="s">
        <v>86</v>
      </c>
      <c r="AT36" s="2" t="s">
        <v>86</v>
      </c>
      <c r="AU36" s="4">
        <v>1066113</v>
      </c>
      <c r="AV36" s="2" t="s">
        <v>86</v>
      </c>
      <c r="AW36" s="2" t="s">
        <v>86</v>
      </c>
      <c r="AX36" s="4">
        <v>3</v>
      </c>
      <c r="AY36" s="2" t="s">
        <v>441</v>
      </c>
      <c r="AZ36" s="2" t="s">
        <v>92</v>
      </c>
      <c r="BA36" s="2" t="s">
        <v>442</v>
      </c>
      <c r="BB36" s="2" t="s">
        <v>789</v>
      </c>
      <c r="BC36" s="2" t="s">
        <v>86</v>
      </c>
      <c r="BD36" s="2" t="s">
        <v>321</v>
      </c>
      <c r="BE36" s="2" t="s">
        <v>86</v>
      </c>
      <c r="BF36" s="2" t="s">
        <v>86</v>
      </c>
      <c r="BG36" s="2" t="s">
        <v>95</v>
      </c>
      <c r="BH36" s="2" t="s">
        <v>790</v>
      </c>
      <c r="BI36" s="2" t="str">
        <f>HYPERLINK("https%3A%2F%2Fwww.webofscience.com%2Fwos%2Fwoscc%2Ffull-record%2FWOS:000886105400001","View Full Record in Web of Science")</f>
        <v>View Full Record in Web of Science</v>
      </c>
    </row>
    <row r="37" spans="1:61" customFormat="1" ht="12.75" x14ac:dyDescent="0.2">
      <c r="A37" s="1">
        <v>33</v>
      </c>
      <c r="B37" s="1" t="s">
        <v>61</v>
      </c>
      <c r="C37" s="1" t="s">
        <v>791</v>
      </c>
      <c r="D37" s="2" t="s">
        <v>792</v>
      </c>
      <c r="E37" s="2" t="s">
        <v>86</v>
      </c>
      <c r="F37" s="2" t="s">
        <v>86</v>
      </c>
      <c r="G37" s="2" t="s">
        <v>200</v>
      </c>
      <c r="H37" s="2" t="s">
        <v>793</v>
      </c>
      <c r="I37" s="2" t="s">
        <v>794</v>
      </c>
      <c r="J37" s="2" t="s">
        <v>795</v>
      </c>
      <c r="K37" s="2" t="s">
        <v>305</v>
      </c>
      <c r="L37" s="2" t="s">
        <v>796</v>
      </c>
      <c r="M37" s="2" t="s">
        <v>86</v>
      </c>
      <c r="N37" s="2" t="s">
        <v>797</v>
      </c>
      <c r="O37" s="2" t="s">
        <v>798</v>
      </c>
      <c r="P37" s="2" t="s">
        <v>799</v>
      </c>
      <c r="Q37" s="2" t="s">
        <v>800</v>
      </c>
      <c r="R37" s="2" t="s">
        <v>86</v>
      </c>
      <c r="S37" s="2" t="s">
        <v>86</v>
      </c>
      <c r="T37" s="2" t="s">
        <v>86</v>
      </c>
      <c r="U37" s="2" t="s">
        <v>86</v>
      </c>
      <c r="V37" s="2" t="s">
        <v>86</v>
      </c>
      <c r="W37" s="2" t="s">
        <v>80</v>
      </c>
      <c r="X37" s="4">
        <v>15</v>
      </c>
      <c r="Y37" s="4">
        <v>7</v>
      </c>
      <c r="Z37" s="4">
        <v>7</v>
      </c>
      <c r="AA37" s="4">
        <v>1</v>
      </c>
      <c r="AB37" s="4">
        <v>4</v>
      </c>
      <c r="AC37" s="2" t="s">
        <v>801</v>
      </c>
      <c r="AD37" s="2" t="s">
        <v>802</v>
      </c>
      <c r="AE37" s="2" t="s">
        <v>803</v>
      </c>
      <c r="AF37" s="2" t="s">
        <v>804</v>
      </c>
      <c r="AG37" s="2" t="s">
        <v>805</v>
      </c>
      <c r="AH37" s="2" t="s">
        <v>86</v>
      </c>
      <c r="AI37" s="2" t="s">
        <v>806</v>
      </c>
      <c r="AJ37" s="2" t="s">
        <v>807</v>
      </c>
      <c r="AK37" s="2" t="s">
        <v>86</v>
      </c>
      <c r="AL37" s="4">
        <v>2010</v>
      </c>
      <c r="AM37" s="4">
        <v>16</v>
      </c>
      <c r="AN37" s="4">
        <v>1</v>
      </c>
      <c r="AO37" s="2" t="s">
        <v>86</v>
      </c>
      <c r="AP37" s="2" t="s">
        <v>86</v>
      </c>
      <c r="AQ37" s="2" t="s">
        <v>86</v>
      </c>
      <c r="AR37" s="2" t="s">
        <v>86</v>
      </c>
      <c r="AS37" s="4">
        <v>53</v>
      </c>
      <c r="AT37" s="4">
        <v>62</v>
      </c>
      <c r="AU37" s="2" t="s">
        <v>86</v>
      </c>
      <c r="AV37" s="2" t="s">
        <v>86</v>
      </c>
      <c r="AW37" s="2" t="s">
        <v>86</v>
      </c>
      <c r="AX37" s="4">
        <v>10</v>
      </c>
      <c r="AY37" s="2" t="s">
        <v>808</v>
      </c>
      <c r="AZ37" s="2" t="s">
        <v>171</v>
      </c>
      <c r="BA37" s="2" t="s">
        <v>345</v>
      </c>
      <c r="BB37" s="2" t="s">
        <v>809</v>
      </c>
      <c r="BC37" s="2" t="s">
        <v>86</v>
      </c>
      <c r="BD37" s="2" t="s">
        <v>86</v>
      </c>
      <c r="BE37" s="2" t="s">
        <v>86</v>
      </c>
      <c r="BF37" s="2" t="s">
        <v>86</v>
      </c>
      <c r="BG37" s="2" t="s">
        <v>95</v>
      </c>
      <c r="BH37" s="2" t="s">
        <v>810</v>
      </c>
      <c r="BI37" s="2" t="str">
        <f>HYPERLINK("https%3A%2F%2Fwww.webofscience.com%2Fwos%2Fwoscc%2Ffull-record%2FWOS:000443138400006","View Full Record in Web of Science")</f>
        <v>View Full Record in Web of Science</v>
      </c>
    </row>
    <row r="38" spans="1:61" customFormat="1" ht="12.75" x14ac:dyDescent="0.2">
      <c r="A38" s="1">
        <v>34</v>
      </c>
      <c r="B38" s="1" t="s">
        <v>61</v>
      </c>
      <c r="C38" s="1" t="s">
        <v>811</v>
      </c>
      <c r="D38" s="2" t="s">
        <v>812</v>
      </c>
      <c r="E38" s="2" t="s">
        <v>813</v>
      </c>
      <c r="F38" s="3" t="str">
        <f>HYPERLINK("http://dx.doi.org/10.1016/j.scitotenv.2021.148422","http://dx.doi.org/10.1016/j.scitotenv.2021.148422")</f>
        <v>http://dx.doi.org/10.1016/j.scitotenv.2021.148422</v>
      </c>
      <c r="G38" s="2" t="s">
        <v>61</v>
      </c>
      <c r="H38" s="2" t="s">
        <v>814</v>
      </c>
      <c r="I38" s="2" t="s">
        <v>815</v>
      </c>
      <c r="J38" s="2" t="s">
        <v>576</v>
      </c>
      <c r="K38" s="2" t="s">
        <v>68</v>
      </c>
      <c r="L38" s="2" t="s">
        <v>816</v>
      </c>
      <c r="M38" s="2" t="s">
        <v>817</v>
      </c>
      <c r="N38" s="2" t="s">
        <v>818</v>
      </c>
      <c r="O38" s="2" t="s">
        <v>819</v>
      </c>
      <c r="P38" s="2" t="s">
        <v>820</v>
      </c>
      <c r="Q38" s="2" t="s">
        <v>821</v>
      </c>
      <c r="R38" s="2" t="s">
        <v>822</v>
      </c>
      <c r="S38" s="2" t="s">
        <v>823</v>
      </c>
      <c r="T38" s="2" t="s">
        <v>824</v>
      </c>
      <c r="U38" s="2" t="s">
        <v>825</v>
      </c>
      <c r="V38" s="2" t="s">
        <v>826</v>
      </c>
      <c r="W38" s="2" t="s">
        <v>80</v>
      </c>
      <c r="X38" s="4">
        <v>203</v>
      </c>
      <c r="Y38" s="4">
        <v>22</v>
      </c>
      <c r="Z38" s="4">
        <v>23</v>
      </c>
      <c r="AA38" s="4">
        <v>12</v>
      </c>
      <c r="AB38" s="4">
        <v>119</v>
      </c>
      <c r="AC38" s="2" t="s">
        <v>585</v>
      </c>
      <c r="AD38" s="2" t="s">
        <v>586</v>
      </c>
      <c r="AE38" s="2" t="s">
        <v>587</v>
      </c>
      <c r="AF38" s="2" t="s">
        <v>588</v>
      </c>
      <c r="AG38" s="2" t="s">
        <v>589</v>
      </c>
      <c r="AH38" s="2" t="s">
        <v>86</v>
      </c>
      <c r="AI38" s="2" t="s">
        <v>590</v>
      </c>
      <c r="AJ38" s="2" t="s">
        <v>591</v>
      </c>
      <c r="AK38" s="2" t="s">
        <v>493</v>
      </c>
      <c r="AL38" s="4">
        <v>2021</v>
      </c>
      <c r="AM38" s="4">
        <v>791</v>
      </c>
      <c r="AN38" s="2" t="s">
        <v>86</v>
      </c>
      <c r="AO38" s="2" t="s">
        <v>86</v>
      </c>
      <c r="AP38" s="2" t="s">
        <v>86</v>
      </c>
      <c r="AQ38" s="2" t="s">
        <v>86</v>
      </c>
      <c r="AR38" s="2" t="s">
        <v>86</v>
      </c>
      <c r="AS38" s="2" t="s">
        <v>86</v>
      </c>
      <c r="AT38" s="2" t="s">
        <v>86</v>
      </c>
      <c r="AU38" s="4">
        <v>148422</v>
      </c>
      <c r="AV38" s="2" t="s">
        <v>86</v>
      </c>
      <c r="AW38" s="2" t="s">
        <v>827</v>
      </c>
      <c r="AX38" s="4">
        <v>16</v>
      </c>
      <c r="AY38" s="2" t="s">
        <v>91</v>
      </c>
      <c r="AZ38" s="2" t="s">
        <v>92</v>
      </c>
      <c r="BA38" s="2" t="s">
        <v>93</v>
      </c>
      <c r="BB38" s="2" t="s">
        <v>828</v>
      </c>
      <c r="BC38" s="4">
        <v>34412398</v>
      </c>
      <c r="BD38" s="2" t="s">
        <v>86</v>
      </c>
      <c r="BE38" s="2" t="s">
        <v>86</v>
      </c>
      <c r="BF38" s="2" t="s">
        <v>86</v>
      </c>
      <c r="BG38" s="2" t="s">
        <v>95</v>
      </c>
      <c r="BH38" s="2" t="s">
        <v>829</v>
      </c>
      <c r="BI38" s="2" t="str">
        <f>HYPERLINK("https%3A%2F%2Fwww.webofscience.com%2Fwos%2Fwoscc%2Ffull-record%2FWOS:000686007900012","View Full Record in Web of Science")</f>
        <v>View Full Record in Web of Science</v>
      </c>
    </row>
    <row r="39" spans="1:61" customFormat="1" ht="12.75" x14ac:dyDescent="0.2">
      <c r="A39" s="1">
        <v>35</v>
      </c>
      <c r="B39" s="1" t="s">
        <v>61</v>
      </c>
      <c r="C39" s="1" t="s">
        <v>830</v>
      </c>
      <c r="D39" s="2" t="s">
        <v>831</v>
      </c>
      <c r="E39" s="2" t="s">
        <v>832</v>
      </c>
      <c r="F39" s="3" t="str">
        <f>HYPERLINK("http://dx.doi.org/10.1016/j.jenvman.2021.113028","http://dx.doi.org/10.1016/j.jenvman.2021.113028")</f>
        <v>http://dx.doi.org/10.1016/j.jenvman.2021.113028</v>
      </c>
      <c r="G39" s="2" t="s">
        <v>61</v>
      </c>
      <c r="H39" s="2" t="s">
        <v>833</v>
      </c>
      <c r="I39" s="2" t="s">
        <v>834</v>
      </c>
      <c r="J39" s="2" t="s">
        <v>835</v>
      </c>
      <c r="K39" s="2" t="s">
        <v>68</v>
      </c>
      <c r="L39" s="2" t="s">
        <v>836</v>
      </c>
      <c r="M39" s="2" t="s">
        <v>837</v>
      </c>
      <c r="N39" s="2" t="s">
        <v>838</v>
      </c>
      <c r="O39" s="2" t="s">
        <v>687</v>
      </c>
      <c r="P39" s="2" t="s">
        <v>839</v>
      </c>
      <c r="Q39" s="2" t="s">
        <v>840</v>
      </c>
      <c r="R39" s="2" t="s">
        <v>841</v>
      </c>
      <c r="S39" s="2" t="s">
        <v>842</v>
      </c>
      <c r="T39" s="2" t="s">
        <v>86</v>
      </c>
      <c r="U39" s="2" t="s">
        <v>86</v>
      </c>
      <c r="V39" s="2" t="s">
        <v>86</v>
      </c>
      <c r="W39" s="2" t="s">
        <v>80</v>
      </c>
      <c r="X39" s="4">
        <v>111</v>
      </c>
      <c r="Y39" s="4">
        <v>32</v>
      </c>
      <c r="Z39" s="4">
        <v>32</v>
      </c>
      <c r="AA39" s="4">
        <v>23</v>
      </c>
      <c r="AB39" s="4">
        <v>200</v>
      </c>
      <c r="AC39" s="2" t="s">
        <v>843</v>
      </c>
      <c r="AD39" s="2" t="s">
        <v>605</v>
      </c>
      <c r="AE39" s="2" t="s">
        <v>844</v>
      </c>
      <c r="AF39" s="2" t="s">
        <v>845</v>
      </c>
      <c r="AG39" s="2" t="s">
        <v>846</v>
      </c>
      <c r="AH39" s="2" t="s">
        <v>86</v>
      </c>
      <c r="AI39" s="2" t="s">
        <v>847</v>
      </c>
      <c r="AJ39" s="2" t="s">
        <v>848</v>
      </c>
      <c r="AK39" s="2" t="s">
        <v>849</v>
      </c>
      <c r="AL39" s="4">
        <v>2021</v>
      </c>
      <c r="AM39" s="4">
        <v>295</v>
      </c>
      <c r="AN39" s="2" t="s">
        <v>86</v>
      </c>
      <c r="AO39" s="2" t="s">
        <v>86</v>
      </c>
      <c r="AP39" s="2" t="s">
        <v>86</v>
      </c>
      <c r="AQ39" s="2" t="s">
        <v>86</v>
      </c>
      <c r="AR39" s="2" t="s">
        <v>86</v>
      </c>
      <c r="AS39" s="2" t="s">
        <v>86</v>
      </c>
      <c r="AT39" s="2" t="s">
        <v>86</v>
      </c>
      <c r="AU39" s="4">
        <v>113028</v>
      </c>
      <c r="AV39" s="2" t="s">
        <v>86</v>
      </c>
      <c r="AW39" s="2" t="s">
        <v>827</v>
      </c>
      <c r="AX39" s="4">
        <v>15</v>
      </c>
      <c r="AY39" s="2" t="s">
        <v>91</v>
      </c>
      <c r="AZ39" s="2" t="s">
        <v>92</v>
      </c>
      <c r="BA39" s="2" t="s">
        <v>93</v>
      </c>
      <c r="BB39" s="2" t="s">
        <v>850</v>
      </c>
      <c r="BC39" s="4">
        <v>34153586</v>
      </c>
      <c r="BD39" s="2" t="s">
        <v>86</v>
      </c>
      <c r="BE39" s="2" t="s">
        <v>86</v>
      </c>
      <c r="BF39" s="2" t="s">
        <v>86</v>
      </c>
      <c r="BG39" s="2" t="s">
        <v>95</v>
      </c>
      <c r="BH39" s="2" t="s">
        <v>851</v>
      </c>
      <c r="BI39" s="2" t="str">
        <f>HYPERLINK("https%3A%2F%2Fwww.webofscience.com%2Fwos%2Fwoscc%2Ffull-record%2FWOS:000681112900008","View Full Record in Web of Science")</f>
        <v>View Full Record in Web of Science</v>
      </c>
    </row>
    <row r="40" spans="1:61" customFormat="1" ht="12.75" x14ac:dyDescent="0.2">
      <c r="A40" s="1">
        <v>36</v>
      </c>
      <c r="B40" s="1" t="s">
        <v>61</v>
      </c>
      <c r="C40" s="1" t="s">
        <v>852</v>
      </c>
      <c r="D40" s="2" t="s">
        <v>853</v>
      </c>
      <c r="E40" s="2" t="s">
        <v>854</v>
      </c>
      <c r="F40" s="3" t="str">
        <f>HYPERLINK("http://dx.doi.org/10.1016/j.mssp.2022.106890","http://dx.doi.org/10.1016/j.mssp.2022.106890")</f>
        <v>http://dx.doi.org/10.1016/j.mssp.2022.106890</v>
      </c>
      <c r="G40" s="2" t="s">
        <v>61</v>
      </c>
      <c r="H40" s="2" t="s">
        <v>855</v>
      </c>
      <c r="I40" s="2" t="s">
        <v>856</v>
      </c>
      <c r="J40" s="2" t="s">
        <v>857</v>
      </c>
      <c r="K40" s="2" t="s">
        <v>68</v>
      </c>
      <c r="L40" s="2" t="s">
        <v>858</v>
      </c>
      <c r="M40" s="2" t="s">
        <v>859</v>
      </c>
      <c r="N40" s="2" t="s">
        <v>860</v>
      </c>
      <c r="O40" s="2" t="s">
        <v>861</v>
      </c>
      <c r="P40" s="2" t="s">
        <v>862</v>
      </c>
      <c r="Q40" s="2" t="s">
        <v>863</v>
      </c>
      <c r="R40" s="2" t="s">
        <v>864</v>
      </c>
      <c r="S40" s="2" t="s">
        <v>865</v>
      </c>
      <c r="T40" s="2" t="s">
        <v>866</v>
      </c>
      <c r="U40" s="2" t="s">
        <v>867</v>
      </c>
      <c r="V40" s="2" t="s">
        <v>868</v>
      </c>
      <c r="W40" s="2" t="s">
        <v>80</v>
      </c>
      <c r="X40" s="4">
        <v>68</v>
      </c>
      <c r="Y40" s="4">
        <v>11</v>
      </c>
      <c r="Z40" s="4">
        <v>11</v>
      </c>
      <c r="AA40" s="4">
        <v>28</v>
      </c>
      <c r="AB40" s="4">
        <v>72</v>
      </c>
      <c r="AC40" s="2" t="s">
        <v>114</v>
      </c>
      <c r="AD40" s="2" t="s">
        <v>115</v>
      </c>
      <c r="AE40" s="2" t="s">
        <v>116</v>
      </c>
      <c r="AF40" s="2" t="s">
        <v>869</v>
      </c>
      <c r="AG40" s="2" t="s">
        <v>870</v>
      </c>
      <c r="AH40" s="2" t="s">
        <v>86</v>
      </c>
      <c r="AI40" s="2" t="s">
        <v>871</v>
      </c>
      <c r="AJ40" s="2" t="s">
        <v>872</v>
      </c>
      <c r="AK40" s="2" t="s">
        <v>873</v>
      </c>
      <c r="AL40" s="4">
        <v>2022</v>
      </c>
      <c r="AM40" s="4">
        <v>149</v>
      </c>
      <c r="AN40" s="2" t="s">
        <v>86</v>
      </c>
      <c r="AO40" s="2" t="s">
        <v>86</v>
      </c>
      <c r="AP40" s="2" t="s">
        <v>86</v>
      </c>
      <c r="AQ40" s="2" t="s">
        <v>86</v>
      </c>
      <c r="AR40" s="2" t="s">
        <v>86</v>
      </c>
      <c r="AS40" s="2" t="s">
        <v>86</v>
      </c>
      <c r="AT40" s="2" t="s">
        <v>86</v>
      </c>
      <c r="AU40" s="4">
        <v>106890</v>
      </c>
      <c r="AV40" s="2" t="s">
        <v>86</v>
      </c>
      <c r="AW40" s="2" t="s">
        <v>86</v>
      </c>
      <c r="AX40" s="4">
        <v>21</v>
      </c>
      <c r="AY40" s="2" t="s">
        <v>874</v>
      </c>
      <c r="AZ40" s="2" t="s">
        <v>92</v>
      </c>
      <c r="BA40" s="2" t="s">
        <v>875</v>
      </c>
      <c r="BB40" s="2" t="s">
        <v>876</v>
      </c>
      <c r="BC40" s="2" t="s">
        <v>86</v>
      </c>
      <c r="BD40" s="2" t="s">
        <v>877</v>
      </c>
      <c r="BE40" s="2" t="s">
        <v>86</v>
      </c>
      <c r="BF40" s="2" t="s">
        <v>86</v>
      </c>
      <c r="BG40" s="2" t="s">
        <v>95</v>
      </c>
      <c r="BH40" s="2" t="s">
        <v>878</v>
      </c>
      <c r="BI40" s="2" t="str">
        <f>HYPERLINK("https%3A%2F%2Fwww.webofscience.com%2Fwos%2Fwoscc%2Ffull-record%2FWOS:000821788500002","View Full Record in Web of Science")</f>
        <v>View Full Record in Web of Science</v>
      </c>
    </row>
    <row r="41" spans="1:61" customFormat="1" ht="12.75" x14ac:dyDescent="0.2">
      <c r="A41" s="1">
        <v>37</v>
      </c>
      <c r="B41" s="1" t="s">
        <v>61</v>
      </c>
      <c r="C41" s="1" t="s">
        <v>879</v>
      </c>
      <c r="D41" s="2" t="s">
        <v>880</v>
      </c>
      <c r="E41" s="2" t="s">
        <v>881</v>
      </c>
      <c r="F41" s="3" t="str">
        <f>HYPERLINK("http://dx.doi.org/10.1016/j.trac.2023.117119","http://dx.doi.org/10.1016/j.trac.2023.117119")</f>
        <v>http://dx.doi.org/10.1016/j.trac.2023.117119</v>
      </c>
      <c r="G41" s="2" t="s">
        <v>61</v>
      </c>
      <c r="H41" s="2" t="s">
        <v>882</v>
      </c>
      <c r="I41" s="2" t="s">
        <v>883</v>
      </c>
      <c r="J41" s="2" t="s">
        <v>884</v>
      </c>
      <c r="K41" s="2" t="s">
        <v>68</v>
      </c>
      <c r="L41" s="2" t="s">
        <v>885</v>
      </c>
      <c r="M41" s="2" t="s">
        <v>886</v>
      </c>
      <c r="N41" s="2" t="s">
        <v>887</v>
      </c>
      <c r="O41" s="2" t="s">
        <v>888</v>
      </c>
      <c r="P41" s="2" t="s">
        <v>889</v>
      </c>
      <c r="Q41" s="2" t="s">
        <v>74</v>
      </c>
      <c r="R41" s="2" t="s">
        <v>890</v>
      </c>
      <c r="S41" s="2" t="s">
        <v>891</v>
      </c>
      <c r="T41" s="2" t="s">
        <v>892</v>
      </c>
      <c r="U41" s="2" t="s">
        <v>893</v>
      </c>
      <c r="V41" s="2" t="s">
        <v>894</v>
      </c>
      <c r="W41" s="2" t="s">
        <v>80</v>
      </c>
      <c r="X41" s="4">
        <v>97</v>
      </c>
      <c r="Y41" s="4">
        <v>0</v>
      </c>
      <c r="Z41" s="4">
        <v>0</v>
      </c>
      <c r="AA41" s="4">
        <v>1</v>
      </c>
      <c r="AB41" s="4">
        <v>1</v>
      </c>
      <c r="AC41" s="2" t="s">
        <v>114</v>
      </c>
      <c r="AD41" s="2" t="s">
        <v>115</v>
      </c>
      <c r="AE41" s="2" t="s">
        <v>116</v>
      </c>
      <c r="AF41" s="2" t="s">
        <v>895</v>
      </c>
      <c r="AG41" s="2" t="s">
        <v>896</v>
      </c>
      <c r="AH41" s="2" t="s">
        <v>86</v>
      </c>
      <c r="AI41" s="2" t="s">
        <v>897</v>
      </c>
      <c r="AJ41" s="2" t="s">
        <v>898</v>
      </c>
      <c r="AK41" s="2" t="s">
        <v>636</v>
      </c>
      <c r="AL41" s="4">
        <v>2023</v>
      </c>
      <c r="AM41" s="4">
        <v>165</v>
      </c>
      <c r="AN41" s="2" t="s">
        <v>86</v>
      </c>
      <c r="AO41" s="2" t="s">
        <v>86</v>
      </c>
      <c r="AP41" s="2" t="s">
        <v>86</v>
      </c>
      <c r="AQ41" s="2" t="s">
        <v>86</v>
      </c>
      <c r="AR41" s="2" t="s">
        <v>86</v>
      </c>
      <c r="AS41" s="2" t="s">
        <v>86</v>
      </c>
      <c r="AT41" s="2" t="s">
        <v>86</v>
      </c>
      <c r="AU41" s="4">
        <v>117119</v>
      </c>
      <c r="AV41" s="2" t="s">
        <v>86</v>
      </c>
      <c r="AW41" s="2" t="s">
        <v>899</v>
      </c>
      <c r="AX41" s="4">
        <v>8</v>
      </c>
      <c r="AY41" s="2" t="s">
        <v>900</v>
      </c>
      <c r="AZ41" s="2" t="s">
        <v>92</v>
      </c>
      <c r="BA41" s="2" t="s">
        <v>901</v>
      </c>
      <c r="BB41" s="2" t="s">
        <v>902</v>
      </c>
      <c r="BC41" s="2" t="s">
        <v>86</v>
      </c>
      <c r="BD41" s="2" t="s">
        <v>86</v>
      </c>
      <c r="BE41" s="2" t="s">
        <v>86</v>
      </c>
      <c r="BF41" s="2" t="s">
        <v>86</v>
      </c>
      <c r="BG41" s="2" t="s">
        <v>95</v>
      </c>
      <c r="BH41" s="2" t="s">
        <v>903</v>
      </c>
      <c r="BI41" s="2" t="str">
        <f>HYPERLINK("https%3A%2F%2Fwww.webofscience.com%2Fwos%2Fwoscc%2Ffull-record%2FWOS:001026159200001","View Full Record in Web of Science")</f>
        <v>View Full Record in Web of Science</v>
      </c>
    </row>
    <row r="42" spans="1:61" customFormat="1" ht="12.75" x14ac:dyDescent="0.2">
      <c r="A42" s="1">
        <v>38</v>
      </c>
      <c r="B42" s="1" t="s">
        <v>61</v>
      </c>
      <c r="C42" s="1" t="s">
        <v>904</v>
      </c>
      <c r="D42" s="2" t="s">
        <v>905</v>
      </c>
      <c r="E42" s="2" t="s">
        <v>86</v>
      </c>
      <c r="F42" s="2" t="s">
        <v>86</v>
      </c>
      <c r="G42" s="2" t="s">
        <v>176</v>
      </c>
      <c r="H42" s="2" t="s">
        <v>906</v>
      </c>
      <c r="I42" s="2" t="s">
        <v>907</v>
      </c>
      <c r="J42" s="2" t="s">
        <v>179</v>
      </c>
      <c r="K42" s="2" t="s">
        <v>68</v>
      </c>
      <c r="L42" s="2" t="s">
        <v>908</v>
      </c>
      <c r="M42" s="2" t="s">
        <v>909</v>
      </c>
      <c r="N42" s="2" t="s">
        <v>910</v>
      </c>
      <c r="O42" s="2" t="s">
        <v>911</v>
      </c>
      <c r="P42" s="2" t="s">
        <v>912</v>
      </c>
      <c r="Q42" s="2" t="s">
        <v>913</v>
      </c>
      <c r="R42" s="2" t="s">
        <v>86</v>
      </c>
      <c r="S42" s="2" t="s">
        <v>86</v>
      </c>
      <c r="T42" s="2" t="s">
        <v>914</v>
      </c>
      <c r="U42" s="2" t="s">
        <v>915</v>
      </c>
      <c r="V42" s="2" t="s">
        <v>916</v>
      </c>
      <c r="W42" s="2" t="s">
        <v>188</v>
      </c>
      <c r="X42" s="4">
        <v>36</v>
      </c>
      <c r="Y42" s="4">
        <v>0</v>
      </c>
      <c r="Z42" s="4">
        <v>0</v>
      </c>
      <c r="AA42" s="4">
        <v>0</v>
      </c>
      <c r="AB42" s="4">
        <v>3</v>
      </c>
      <c r="AC42" s="2" t="s">
        <v>189</v>
      </c>
      <c r="AD42" s="2" t="s">
        <v>165</v>
      </c>
      <c r="AE42" s="2" t="s">
        <v>190</v>
      </c>
      <c r="AF42" s="2" t="s">
        <v>86</v>
      </c>
      <c r="AG42" s="2" t="s">
        <v>86</v>
      </c>
      <c r="AH42" s="2" t="s">
        <v>191</v>
      </c>
      <c r="AI42" s="2" t="s">
        <v>192</v>
      </c>
      <c r="AJ42" s="2" t="s">
        <v>86</v>
      </c>
      <c r="AK42" s="2" t="s">
        <v>86</v>
      </c>
      <c r="AL42" s="4">
        <v>2020</v>
      </c>
      <c r="AM42" s="4">
        <v>56</v>
      </c>
      <c r="AN42" s="2" t="s">
        <v>86</v>
      </c>
      <c r="AO42" s="2" t="s">
        <v>86</v>
      </c>
      <c r="AP42" s="2" t="s">
        <v>86</v>
      </c>
      <c r="AQ42" s="2" t="s">
        <v>86</v>
      </c>
      <c r="AR42" s="2" t="s">
        <v>86</v>
      </c>
      <c r="AS42" s="4">
        <v>82</v>
      </c>
      <c r="AT42" s="4">
        <v>93</v>
      </c>
      <c r="AU42" s="2" t="s">
        <v>86</v>
      </c>
      <c r="AV42" s="2" t="s">
        <v>86</v>
      </c>
      <c r="AW42" s="2" t="s">
        <v>86</v>
      </c>
      <c r="AX42" s="4">
        <v>12</v>
      </c>
      <c r="AY42" s="2" t="s">
        <v>193</v>
      </c>
      <c r="AZ42" s="2" t="s">
        <v>194</v>
      </c>
      <c r="BA42" s="2" t="s">
        <v>93</v>
      </c>
      <c r="BB42" s="2" t="s">
        <v>195</v>
      </c>
      <c r="BC42" s="2" t="s">
        <v>86</v>
      </c>
      <c r="BD42" s="2" t="s">
        <v>86</v>
      </c>
      <c r="BE42" s="2" t="s">
        <v>86</v>
      </c>
      <c r="BF42" s="2" t="s">
        <v>86</v>
      </c>
      <c r="BG42" s="2" t="s">
        <v>95</v>
      </c>
      <c r="BH42" s="2" t="s">
        <v>917</v>
      </c>
      <c r="BI42" s="2" t="str">
        <f>HYPERLINK("https%3A%2F%2Fwww.webofscience.com%2Fwos%2Fwoscc%2Ffull-record%2FWOS:000637180200009","View Full Record in Web of Science")</f>
        <v>View Full Record in Web of Science</v>
      </c>
    </row>
    <row r="43" spans="1:61" customFormat="1" ht="12.75" x14ac:dyDescent="0.2">
      <c r="A43" s="1">
        <v>39</v>
      </c>
      <c r="B43" s="1" t="s">
        <v>61</v>
      </c>
      <c r="C43" s="1" t="s">
        <v>918</v>
      </c>
      <c r="D43" s="2" t="s">
        <v>919</v>
      </c>
      <c r="E43" s="2" t="s">
        <v>920</v>
      </c>
      <c r="F43" s="3" t="str">
        <f>HYPERLINK("http://dx.doi.org/10.4274/eajem.galenos.2018.24482","http://dx.doi.org/10.4274/eajem.galenos.2018.24482")</f>
        <v>http://dx.doi.org/10.4274/eajem.galenos.2018.24482</v>
      </c>
      <c r="G43" s="2" t="s">
        <v>61</v>
      </c>
      <c r="H43" s="2" t="s">
        <v>921</v>
      </c>
      <c r="I43" s="2" t="s">
        <v>922</v>
      </c>
      <c r="J43" s="2" t="s">
        <v>923</v>
      </c>
      <c r="K43" s="2" t="s">
        <v>68</v>
      </c>
      <c r="L43" s="2" t="s">
        <v>924</v>
      </c>
      <c r="M43" s="2" t="s">
        <v>86</v>
      </c>
      <c r="N43" s="2" t="s">
        <v>925</v>
      </c>
      <c r="O43" s="2" t="s">
        <v>926</v>
      </c>
      <c r="P43" s="2" t="s">
        <v>927</v>
      </c>
      <c r="Q43" s="2" t="s">
        <v>928</v>
      </c>
      <c r="R43" s="2" t="s">
        <v>929</v>
      </c>
      <c r="S43" s="2" t="s">
        <v>930</v>
      </c>
      <c r="T43" s="2" t="s">
        <v>86</v>
      </c>
      <c r="U43" s="2" t="s">
        <v>86</v>
      </c>
      <c r="V43" s="2" t="s">
        <v>86</v>
      </c>
      <c r="W43" s="2" t="s">
        <v>80</v>
      </c>
      <c r="X43" s="4">
        <v>11</v>
      </c>
      <c r="Y43" s="4">
        <v>0</v>
      </c>
      <c r="Z43" s="4">
        <v>0</v>
      </c>
      <c r="AA43" s="4">
        <v>1</v>
      </c>
      <c r="AB43" s="4">
        <v>1</v>
      </c>
      <c r="AC43" s="2" t="s">
        <v>931</v>
      </c>
      <c r="AD43" s="2" t="s">
        <v>932</v>
      </c>
      <c r="AE43" s="2" t="s">
        <v>933</v>
      </c>
      <c r="AF43" s="2" t="s">
        <v>934</v>
      </c>
      <c r="AG43" s="2" t="s">
        <v>935</v>
      </c>
      <c r="AH43" s="2" t="s">
        <v>86</v>
      </c>
      <c r="AI43" s="2" t="s">
        <v>936</v>
      </c>
      <c r="AJ43" s="2" t="s">
        <v>937</v>
      </c>
      <c r="AK43" s="2" t="s">
        <v>366</v>
      </c>
      <c r="AL43" s="4">
        <v>2019</v>
      </c>
      <c r="AM43" s="4">
        <v>18</v>
      </c>
      <c r="AN43" s="4">
        <v>1</v>
      </c>
      <c r="AO43" s="2" t="s">
        <v>86</v>
      </c>
      <c r="AP43" s="2" t="s">
        <v>86</v>
      </c>
      <c r="AQ43" s="2" t="s">
        <v>86</v>
      </c>
      <c r="AR43" s="2" t="s">
        <v>86</v>
      </c>
      <c r="AS43" s="4">
        <v>55</v>
      </c>
      <c r="AT43" s="4">
        <v>57</v>
      </c>
      <c r="AU43" s="2" t="s">
        <v>86</v>
      </c>
      <c r="AV43" s="2" t="s">
        <v>86</v>
      </c>
      <c r="AW43" s="2" t="s">
        <v>86</v>
      </c>
      <c r="AX43" s="4">
        <v>3</v>
      </c>
      <c r="AY43" s="2" t="s">
        <v>938</v>
      </c>
      <c r="AZ43" s="2" t="s">
        <v>171</v>
      </c>
      <c r="BA43" s="2" t="s">
        <v>938</v>
      </c>
      <c r="BB43" s="2" t="s">
        <v>939</v>
      </c>
      <c r="BC43" s="2" t="s">
        <v>86</v>
      </c>
      <c r="BD43" s="2" t="s">
        <v>940</v>
      </c>
      <c r="BE43" s="2" t="s">
        <v>86</v>
      </c>
      <c r="BF43" s="2" t="s">
        <v>86</v>
      </c>
      <c r="BG43" s="2" t="s">
        <v>95</v>
      </c>
      <c r="BH43" s="2" t="s">
        <v>941</v>
      </c>
      <c r="BI43" s="2" t="str">
        <f>HYPERLINK("https%3A%2F%2Fwww.webofscience.com%2Fwos%2Fwoscc%2Ffull-record%2FWOS:000489680800011","View Full Record in Web of Science")</f>
        <v>View Full Record in Web of Science</v>
      </c>
    </row>
    <row r="44" spans="1:61" customFormat="1" ht="12.75" x14ac:dyDescent="0.2">
      <c r="A44" s="1">
        <v>40</v>
      </c>
      <c r="B44" s="1" t="s">
        <v>61</v>
      </c>
      <c r="C44" s="1" t="s">
        <v>942</v>
      </c>
      <c r="D44" s="2" t="s">
        <v>943</v>
      </c>
      <c r="E44" s="2" t="s">
        <v>944</v>
      </c>
      <c r="F44" s="3" t="str">
        <f>HYPERLINK("http://dx.doi.org/10.1111/ijfs.14363","http://dx.doi.org/10.1111/ijfs.14363")</f>
        <v>http://dx.doi.org/10.1111/ijfs.14363</v>
      </c>
      <c r="G44" s="2" t="s">
        <v>61</v>
      </c>
      <c r="H44" s="2" t="s">
        <v>945</v>
      </c>
      <c r="I44" s="2" t="s">
        <v>946</v>
      </c>
      <c r="J44" s="2" t="s">
        <v>947</v>
      </c>
      <c r="K44" s="2" t="s">
        <v>68</v>
      </c>
      <c r="L44" s="2" t="s">
        <v>948</v>
      </c>
      <c r="M44" s="2" t="s">
        <v>949</v>
      </c>
      <c r="N44" s="2" t="s">
        <v>950</v>
      </c>
      <c r="O44" s="2" t="s">
        <v>951</v>
      </c>
      <c r="P44" s="2" t="s">
        <v>952</v>
      </c>
      <c r="Q44" s="2" t="s">
        <v>953</v>
      </c>
      <c r="R44" s="2" t="s">
        <v>954</v>
      </c>
      <c r="S44" s="2" t="s">
        <v>955</v>
      </c>
      <c r="T44" s="2" t="s">
        <v>86</v>
      </c>
      <c r="U44" s="2" t="s">
        <v>86</v>
      </c>
      <c r="V44" s="2" t="s">
        <v>86</v>
      </c>
      <c r="W44" s="2" t="s">
        <v>80</v>
      </c>
      <c r="X44" s="4">
        <v>171</v>
      </c>
      <c r="Y44" s="4">
        <v>53</v>
      </c>
      <c r="Z44" s="4">
        <v>57</v>
      </c>
      <c r="AA44" s="4">
        <v>17</v>
      </c>
      <c r="AB44" s="4">
        <v>126</v>
      </c>
      <c r="AC44" s="2" t="s">
        <v>956</v>
      </c>
      <c r="AD44" s="2" t="s">
        <v>957</v>
      </c>
      <c r="AE44" s="2" t="s">
        <v>958</v>
      </c>
      <c r="AF44" s="2" t="s">
        <v>959</v>
      </c>
      <c r="AG44" s="2" t="s">
        <v>960</v>
      </c>
      <c r="AH44" s="2" t="s">
        <v>86</v>
      </c>
      <c r="AI44" s="2" t="s">
        <v>961</v>
      </c>
      <c r="AJ44" s="2" t="s">
        <v>962</v>
      </c>
      <c r="AK44" s="2" t="s">
        <v>89</v>
      </c>
      <c r="AL44" s="4">
        <v>2020</v>
      </c>
      <c r="AM44" s="4">
        <v>55</v>
      </c>
      <c r="AN44" s="4">
        <v>4</v>
      </c>
      <c r="AO44" s="2" t="s">
        <v>86</v>
      </c>
      <c r="AP44" s="2" t="s">
        <v>86</v>
      </c>
      <c r="AQ44" s="2" t="s">
        <v>963</v>
      </c>
      <c r="AR44" s="2" t="s">
        <v>86</v>
      </c>
      <c r="AS44" s="4">
        <v>1389</v>
      </c>
      <c r="AT44" s="4">
        <v>1406</v>
      </c>
      <c r="AU44" s="2" t="s">
        <v>86</v>
      </c>
      <c r="AV44" s="2" t="s">
        <v>86</v>
      </c>
      <c r="AW44" s="2" t="s">
        <v>964</v>
      </c>
      <c r="AX44" s="4">
        <v>18</v>
      </c>
      <c r="AY44" s="2" t="s">
        <v>965</v>
      </c>
      <c r="AZ44" s="2" t="s">
        <v>92</v>
      </c>
      <c r="BA44" s="2" t="s">
        <v>965</v>
      </c>
      <c r="BB44" s="2" t="s">
        <v>966</v>
      </c>
      <c r="BC44" s="2" t="s">
        <v>86</v>
      </c>
      <c r="BD44" s="2" t="s">
        <v>86</v>
      </c>
      <c r="BE44" s="2" t="s">
        <v>86</v>
      </c>
      <c r="BF44" s="2" t="s">
        <v>86</v>
      </c>
      <c r="BG44" s="2" t="s">
        <v>95</v>
      </c>
      <c r="BH44" s="2" t="s">
        <v>967</v>
      </c>
      <c r="BI44" s="2" t="str">
        <f>HYPERLINK("https%3A%2F%2Fwww.webofscience.com%2Fwos%2Fwoscc%2Ffull-record%2FWOS:000487980900001","View Full Record in Web of Science")</f>
        <v>View Full Record in Web of Science</v>
      </c>
    </row>
    <row r="45" spans="1:61" customFormat="1" ht="12.75" x14ac:dyDescent="0.2">
      <c r="A45" s="1">
        <v>41</v>
      </c>
      <c r="B45" s="1" t="s">
        <v>61</v>
      </c>
      <c r="C45" s="1" t="s">
        <v>968</v>
      </c>
      <c r="D45" s="2" t="s">
        <v>969</v>
      </c>
      <c r="E45" s="2" t="s">
        <v>970</v>
      </c>
      <c r="F45" s="3" t="str">
        <f>HYPERLINK("http://dx.doi.org/10.3390/w14071124","http://dx.doi.org/10.3390/w14071124")</f>
        <v>http://dx.doi.org/10.3390/w14071124</v>
      </c>
      <c r="G45" s="2" t="s">
        <v>61</v>
      </c>
      <c r="H45" s="2" t="s">
        <v>971</v>
      </c>
      <c r="I45" s="2" t="s">
        <v>972</v>
      </c>
      <c r="J45" s="2" t="s">
        <v>973</v>
      </c>
      <c r="K45" s="2" t="s">
        <v>68</v>
      </c>
      <c r="L45" s="2" t="s">
        <v>974</v>
      </c>
      <c r="M45" s="2" t="s">
        <v>975</v>
      </c>
      <c r="N45" s="2" t="s">
        <v>976</v>
      </c>
      <c r="O45" s="2" t="s">
        <v>977</v>
      </c>
      <c r="P45" s="2" t="s">
        <v>978</v>
      </c>
      <c r="Q45" s="2" t="s">
        <v>979</v>
      </c>
      <c r="R45" s="2" t="s">
        <v>980</v>
      </c>
      <c r="S45" s="2" t="s">
        <v>981</v>
      </c>
      <c r="T45" s="2" t="s">
        <v>86</v>
      </c>
      <c r="U45" s="2" t="s">
        <v>86</v>
      </c>
      <c r="V45" s="2" t="s">
        <v>86</v>
      </c>
      <c r="W45" s="2" t="s">
        <v>80</v>
      </c>
      <c r="X45" s="4">
        <v>69</v>
      </c>
      <c r="Y45" s="4">
        <v>13</v>
      </c>
      <c r="Z45" s="4">
        <v>13</v>
      </c>
      <c r="AA45" s="4">
        <v>16</v>
      </c>
      <c r="AB45" s="4">
        <v>56</v>
      </c>
      <c r="AC45" s="2" t="s">
        <v>211</v>
      </c>
      <c r="AD45" s="2" t="s">
        <v>212</v>
      </c>
      <c r="AE45" s="2" t="s">
        <v>213</v>
      </c>
      <c r="AF45" s="2" t="s">
        <v>86</v>
      </c>
      <c r="AG45" s="2" t="s">
        <v>982</v>
      </c>
      <c r="AH45" s="2" t="s">
        <v>86</v>
      </c>
      <c r="AI45" s="2" t="s">
        <v>983</v>
      </c>
      <c r="AJ45" s="2" t="s">
        <v>984</v>
      </c>
      <c r="AK45" s="2" t="s">
        <v>89</v>
      </c>
      <c r="AL45" s="4">
        <v>2022</v>
      </c>
      <c r="AM45" s="4">
        <v>14</v>
      </c>
      <c r="AN45" s="4">
        <v>7</v>
      </c>
      <c r="AO45" s="2" t="s">
        <v>86</v>
      </c>
      <c r="AP45" s="2" t="s">
        <v>86</v>
      </c>
      <c r="AQ45" s="2" t="s">
        <v>86</v>
      </c>
      <c r="AR45" s="2" t="s">
        <v>86</v>
      </c>
      <c r="AS45" s="2" t="s">
        <v>86</v>
      </c>
      <c r="AT45" s="2" t="s">
        <v>86</v>
      </c>
      <c r="AU45" s="4">
        <v>1124</v>
      </c>
      <c r="AV45" s="2" t="s">
        <v>86</v>
      </c>
      <c r="AW45" s="2" t="s">
        <v>86</v>
      </c>
      <c r="AX45" s="4">
        <v>17</v>
      </c>
      <c r="AY45" s="2" t="s">
        <v>469</v>
      </c>
      <c r="AZ45" s="2" t="s">
        <v>92</v>
      </c>
      <c r="BA45" s="2" t="s">
        <v>470</v>
      </c>
      <c r="BB45" s="2" t="s">
        <v>985</v>
      </c>
      <c r="BC45" s="2" t="s">
        <v>86</v>
      </c>
      <c r="BD45" s="2" t="s">
        <v>321</v>
      </c>
      <c r="BE45" s="2" t="s">
        <v>86</v>
      </c>
      <c r="BF45" s="2" t="s">
        <v>86</v>
      </c>
      <c r="BG45" s="2" t="s">
        <v>95</v>
      </c>
      <c r="BH45" s="2" t="s">
        <v>986</v>
      </c>
      <c r="BI45" s="2" t="str">
        <f>HYPERLINK("https%3A%2F%2Fwww.webofscience.com%2Fwos%2Fwoscc%2Ffull-record%2FWOS:000780758200001","View Full Record in Web of Science")</f>
        <v>View Full Record in Web of Science</v>
      </c>
    </row>
    <row r="46" spans="1:61" customFormat="1" ht="12.75" x14ac:dyDescent="0.2">
      <c r="A46" s="1">
        <v>42</v>
      </c>
      <c r="B46" s="1" t="s">
        <v>61</v>
      </c>
      <c r="C46" s="1" t="s">
        <v>987</v>
      </c>
      <c r="D46" s="2" t="s">
        <v>988</v>
      </c>
      <c r="E46" s="2" t="s">
        <v>989</v>
      </c>
      <c r="F46" s="3" t="str">
        <f>HYPERLINK("http://dx.doi.org/10.1002/hpm.3493","http://dx.doi.org/10.1002/hpm.3493")</f>
        <v>http://dx.doi.org/10.1002/hpm.3493</v>
      </c>
      <c r="G46" s="2" t="s">
        <v>200</v>
      </c>
      <c r="H46" s="2" t="s">
        <v>990</v>
      </c>
      <c r="I46" s="2" t="s">
        <v>991</v>
      </c>
      <c r="J46" s="2" t="s">
        <v>992</v>
      </c>
      <c r="K46" s="2" t="s">
        <v>68</v>
      </c>
      <c r="L46" s="2" t="s">
        <v>993</v>
      </c>
      <c r="M46" s="2" t="s">
        <v>86</v>
      </c>
      <c r="N46" s="2" t="s">
        <v>994</v>
      </c>
      <c r="O46" s="2" t="s">
        <v>995</v>
      </c>
      <c r="P46" s="2" t="s">
        <v>996</v>
      </c>
      <c r="Q46" s="2" t="s">
        <v>997</v>
      </c>
      <c r="R46" s="2" t="s">
        <v>998</v>
      </c>
      <c r="S46" s="2" t="s">
        <v>999</v>
      </c>
      <c r="T46" s="2" t="s">
        <v>86</v>
      </c>
      <c r="U46" s="2" t="s">
        <v>86</v>
      </c>
      <c r="V46" s="2" t="s">
        <v>86</v>
      </c>
      <c r="W46" s="2" t="s">
        <v>80</v>
      </c>
      <c r="X46" s="4">
        <v>16</v>
      </c>
      <c r="Y46" s="4">
        <v>3</v>
      </c>
      <c r="Z46" s="4">
        <v>3</v>
      </c>
      <c r="AA46" s="4">
        <v>1</v>
      </c>
      <c r="AB46" s="4">
        <v>4</v>
      </c>
      <c r="AC46" s="2" t="s">
        <v>956</v>
      </c>
      <c r="AD46" s="2" t="s">
        <v>957</v>
      </c>
      <c r="AE46" s="2" t="s">
        <v>958</v>
      </c>
      <c r="AF46" s="2" t="s">
        <v>1000</v>
      </c>
      <c r="AG46" s="2" t="s">
        <v>1001</v>
      </c>
      <c r="AH46" s="2" t="s">
        <v>86</v>
      </c>
      <c r="AI46" s="2" t="s">
        <v>1002</v>
      </c>
      <c r="AJ46" s="2" t="s">
        <v>1003</v>
      </c>
      <c r="AK46" s="2" t="s">
        <v>440</v>
      </c>
      <c r="AL46" s="4">
        <v>2022</v>
      </c>
      <c r="AM46" s="4">
        <v>37</v>
      </c>
      <c r="AN46" s="4">
        <v>5</v>
      </c>
      <c r="AO46" s="2" t="s">
        <v>86</v>
      </c>
      <c r="AP46" s="2" t="s">
        <v>86</v>
      </c>
      <c r="AQ46" s="2" t="s">
        <v>86</v>
      </c>
      <c r="AR46" s="2" t="s">
        <v>86</v>
      </c>
      <c r="AS46" s="4">
        <v>2992</v>
      </c>
      <c r="AT46" s="4">
        <v>2996</v>
      </c>
      <c r="AU46" s="2" t="s">
        <v>86</v>
      </c>
      <c r="AV46" s="2" t="s">
        <v>86</v>
      </c>
      <c r="AW46" s="2" t="s">
        <v>343</v>
      </c>
      <c r="AX46" s="4">
        <v>5</v>
      </c>
      <c r="AY46" s="2" t="s">
        <v>1004</v>
      </c>
      <c r="AZ46" s="2" t="s">
        <v>1005</v>
      </c>
      <c r="BA46" s="2" t="s">
        <v>1006</v>
      </c>
      <c r="BB46" s="2" t="s">
        <v>1007</v>
      </c>
      <c r="BC46" s="4">
        <v>35526088</v>
      </c>
      <c r="BD46" s="2" t="s">
        <v>877</v>
      </c>
      <c r="BE46" s="2" t="s">
        <v>86</v>
      </c>
      <c r="BF46" s="2" t="s">
        <v>86</v>
      </c>
      <c r="BG46" s="2" t="s">
        <v>95</v>
      </c>
      <c r="BH46" s="2" t="s">
        <v>1008</v>
      </c>
      <c r="BI46" s="2" t="str">
        <f>HYPERLINK("https%3A%2F%2Fwww.webofscience.com%2Fwos%2Fwoscc%2Ffull-record%2FWOS:000791840400001","View Full Record in Web of Science")</f>
        <v>View Full Record in Web of Science</v>
      </c>
    </row>
    <row r="47" spans="1:61" customFormat="1" ht="12.75" x14ac:dyDescent="0.2">
      <c r="A47" s="1">
        <v>43</v>
      </c>
      <c r="B47" s="1" t="s">
        <v>61</v>
      </c>
      <c r="C47" s="1" t="s">
        <v>1009</v>
      </c>
      <c r="D47" s="2" t="s">
        <v>1010</v>
      </c>
      <c r="E47" s="2" t="s">
        <v>1011</v>
      </c>
      <c r="F47" s="3" t="str">
        <f>HYPERLINK("http://dx.doi.org/10.1016/j.scitotenv.2021.146534","http://dx.doi.org/10.1016/j.scitotenv.2021.146534")</f>
        <v>http://dx.doi.org/10.1016/j.scitotenv.2021.146534</v>
      </c>
      <c r="G47" s="2" t="s">
        <v>61</v>
      </c>
      <c r="H47" s="2" t="s">
        <v>1012</v>
      </c>
      <c r="I47" s="2" t="s">
        <v>1013</v>
      </c>
      <c r="J47" s="2" t="s">
        <v>576</v>
      </c>
      <c r="K47" s="2" t="s">
        <v>68</v>
      </c>
      <c r="L47" s="2" t="s">
        <v>1014</v>
      </c>
      <c r="M47" s="2" t="s">
        <v>1015</v>
      </c>
      <c r="N47" s="2" t="s">
        <v>1016</v>
      </c>
      <c r="O47" s="2" t="s">
        <v>1017</v>
      </c>
      <c r="P47" s="2" t="s">
        <v>1018</v>
      </c>
      <c r="Q47" s="2" t="s">
        <v>1019</v>
      </c>
      <c r="R47" s="2" t="s">
        <v>1020</v>
      </c>
      <c r="S47" s="2" t="s">
        <v>1021</v>
      </c>
      <c r="T47" s="2" t="s">
        <v>1022</v>
      </c>
      <c r="U47" s="2" t="s">
        <v>1023</v>
      </c>
      <c r="V47" s="2" t="s">
        <v>1024</v>
      </c>
      <c r="W47" s="2" t="s">
        <v>80</v>
      </c>
      <c r="X47" s="4">
        <v>154</v>
      </c>
      <c r="Y47" s="4">
        <v>21</v>
      </c>
      <c r="Z47" s="4">
        <v>21</v>
      </c>
      <c r="AA47" s="4">
        <v>14</v>
      </c>
      <c r="AB47" s="4">
        <v>109</v>
      </c>
      <c r="AC47" s="2" t="s">
        <v>585</v>
      </c>
      <c r="AD47" s="2" t="s">
        <v>586</v>
      </c>
      <c r="AE47" s="2" t="s">
        <v>587</v>
      </c>
      <c r="AF47" s="2" t="s">
        <v>588</v>
      </c>
      <c r="AG47" s="2" t="s">
        <v>589</v>
      </c>
      <c r="AH47" s="2" t="s">
        <v>86</v>
      </c>
      <c r="AI47" s="2" t="s">
        <v>590</v>
      </c>
      <c r="AJ47" s="2" t="s">
        <v>591</v>
      </c>
      <c r="AK47" s="2" t="s">
        <v>592</v>
      </c>
      <c r="AL47" s="4">
        <v>2021</v>
      </c>
      <c r="AM47" s="4">
        <v>780</v>
      </c>
      <c r="AN47" s="2" t="s">
        <v>86</v>
      </c>
      <c r="AO47" s="2" t="s">
        <v>86</v>
      </c>
      <c r="AP47" s="2" t="s">
        <v>86</v>
      </c>
      <c r="AQ47" s="2" t="s">
        <v>86</v>
      </c>
      <c r="AR47" s="2" t="s">
        <v>86</v>
      </c>
      <c r="AS47" s="2" t="s">
        <v>86</v>
      </c>
      <c r="AT47" s="2" t="s">
        <v>86</v>
      </c>
      <c r="AU47" s="4">
        <v>146534</v>
      </c>
      <c r="AV47" s="2" t="s">
        <v>86</v>
      </c>
      <c r="AW47" s="2" t="s">
        <v>1025</v>
      </c>
      <c r="AX47" s="4">
        <v>11</v>
      </c>
      <c r="AY47" s="2" t="s">
        <v>91</v>
      </c>
      <c r="AZ47" s="2" t="s">
        <v>92</v>
      </c>
      <c r="BA47" s="2" t="s">
        <v>93</v>
      </c>
      <c r="BB47" s="2" t="s">
        <v>1026</v>
      </c>
      <c r="BC47" s="4">
        <v>34030291</v>
      </c>
      <c r="BD47" s="2" t="s">
        <v>1027</v>
      </c>
      <c r="BE47" s="2" t="s">
        <v>86</v>
      </c>
      <c r="BF47" s="2" t="s">
        <v>86</v>
      </c>
      <c r="BG47" s="2" t="s">
        <v>95</v>
      </c>
      <c r="BH47" s="2" t="s">
        <v>1028</v>
      </c>
      <c r="BI47" s="2" t="str">
        <f>HYPERLINK("https%3A%2F%2Fwww.webofscience.com%2Fwos%2Fwoscc%2Ffull-record%2FWOS:000653089300007","View Full Record in Web of Science")</f>
        <v>View Full Record in Web of Science</v>
      </c>
    </row>
    <row r="48" spans="1:61" customFormat="1" ht="12.75" x14ac:dyDescent="0.2">
      <c r="A48" s="1">
        <v>44</v>
      </c>
      <c r="B48" s="1" t="s">
        <v>61</v>
      </c>
      <c r="C48" s="1" t="s">
        <v>1029</v>
      </c>
      <c r="D48" s="2" t="s">
        <v>1030</v>
      </c>
      <c r="E48" s="2" t="s">
        <v>1031</v>
      </c>
      <c r="F48" s="3" t="str">
        <f>HYPERLINK("http://dx.doi.org/10.1080/10408398.2023.2202256","http://dx.doi.org/10.1080/10408398.2023.2202256")</f>
        <v>http://dx.doi.org/10.1080/10408398.2023.2202256</v>
      </c>
      <c r="G48" s="2" t="s">
        <v>248</v>
      </c>
      <c r="H48" s="2" t="s">
        <v>1032</v>
      </c>
      <c r="I48" s="2" t="s">
        <v>1033</v>
      </c>
      <c r="J48" s="2" t="s">
        <v>251</v>
      </c>
      <c r="K48" s="2" t="s">
        <v>68</v>
      </c>
      <c r="L48" s="2" t="s">
        <v>1034</v>
      </c>
      <c r="M48" s="2" t="s">
        <v>1035</v>
      </c>
      <c r="N48" s="2" t="s">
        <v>1036</v>
      </c>
      <c r="O48" s="2" t="s">
        <v>1037</v>
      </c>
      <c r="P48" s="2" t="s">
        <v>1038</v>
      </c>
      <c r="Q48" s="2" t="s">
        <v>1039</v>
      </c>
      <c r="R48" s="2" t="s">
        <v>1040</v>
      </c>
      <c r="S48" s="2" t="s">
        <v>1041</v>
      </c>
      <c r="T48" s="2" t="s">
        <v>1042</v>
      </c>
      <c r="U48" s="2" t="s">
        <v>1043</v>
      </c>
      <c r="V48" s="2" t="s">
        <v>1044</v>
      </c>
      <c r="W48" s="2" t="s">
        <v>80</v>
      </c>
      <c r="X48" s="4">
        <v>102</v>
      </c>
      <c r="Y48" s="4">
        <v>0</v>
      </c>
      <c r="Z48" s="4">
        <v>0</v>
      </c>
      <c r="AA48" s="4">
        <v>30</v>
      </c>
      <c r="AB48" s="4">
        <v>30</v>
      </c>
      <c r="AC48" s="2" t="s">
        <v>260</v>
      </c>
      <c r="AD48" s="2" t="s">
        <v>261</v>
      </c>
      <c r="AE48" s="2" t="s">
        <v>262</v>
      </c>
      <c r="AF48" s="2" t="s">
        <v>263</v>
      </c>
      <c r="AG48" s="2" t="s">
        <v>264</v>
      </c>
      <c r="AH48" s="2" t="s">
        <v>86</v>
      </c>
      <c r="AI48" s="2" t="s">
        <v>265</v>
      </c>
      <c r="AJ48" s="2" t="s">
        <v>266</v>
      </c>
      <c r="AK48" s="2" t="s">
        <v>1045</v>
      </c>
      <c r="AL48" s="4">
        <v>2023</v>
      </c>
      <c r="AM48" s="2" t="s">
        <v>86</v>
      </c>
      <c r="AN48" s="2" t="s">
        <v>86</v>
      </c>
      <c r="AO48" s="2" t="s">
        <v>86</v>
      </c>
      <c r="AP48" s="2" t="s">
        <v>86</v>
      </c>
      <c r="AQ48" s="2" t="s">
        <v>86</v>
      </c>
      <c r="AR48" s="2" t="s">
        <v>86</v>
      </c>
      <c r="AS48" s="2" t="s">
        <v>86</v>
      </c>
      <c r="AT48" s="2" t="s">
        <v>86</v>
      </c>
      <c r="AU48" s="2" t="s">
        <v>86</v>
      </c>
      <c r="AV48" s="2" t="s">
        <v>86</v>
      </c>
      <c r="AW48" s="2" t="s">
        <v>1046</v>
      </c>
      <c r="AX48" s="4">
        <v>16</v>
      </c>
      <c r="AY48" s="2" t="s">
        <v>269</v>
      </c>
      <c r="AZ48" s="2" t="s">
        <v>92</v>
      </c>
      <c r="BA48" s="2" t="s">
        <v>269</v>
      </c>
      <c r="BB48" s="2" t="s">
        <v>1047</v>
      </c>
      <c r="BC48" s="4">
        <v>37114905</v>
      </c>
      <c r="BD48" s="2" t="s">
        <v>86</v>
      </c>
      <c r="BE48" s="2" t="s">
        <v>86</v>
      </c>
      <c r="BF48" s="2" t="s">
        <v>86</v>
      </c>
      <c r="BG48" s="2" t="s">
        <v>95</v>
      </c>
      <c r="BH48" s="2" t="s">
        <v>1048</v>
      </c>
      <c r="BI48" s="2" t="str">
        <f>HYPERLINK("https%3A%2F%2Fwww.webofscience.com%2Fwos%2Fwoscc%2Ffull-record%2FWOS:000978102000001","View Full Record in Web of Science")</f>
        <v>View Full Record in Web of Science</v>
      </c>
    </row>
    <row r="49" spans="1:61" ht="12.75" x14ac:dyDescent="0.2">
      <c r="A49" s="8">
        <v>45</v>
      </c>
      <c r="B49" s="8" t="s">
        <v>1049</v>
      </c>
      <c r="C49" s="8" t="s">
        <v>1050</v>
      </c>
      <c r="D49" s="9" t="s">
        <v>1051</v>
      </c>
      <c r="E49" s="9" t="s">
        <v>1052</v>
      </c>
      <c r="F49" s="11" t="str">
        <f>HYPERLINK("http://dx.doi.org/10.1016/j.envpol.2017.01.025","http://dx.doi.org/10.1016/j.envpol.2017.01.025")</f>
        <v>http://dx.doi.org/10.1016/j.envpol.2017.01.025</v>
      </c>
      <c r="G49" s="9" t="s">
        <v>200</v>
      </c>
      <c r="H49" s="9" t="s">
        <v>1053</v>
      </c>
      <c r="I49" s="9" t="s">
        <v>1054</v>
      </c>
      <c r="J49" s="9" t="s">
        <v>102</v>
      </c>
      <c r="K49" s="9" t="s">
        <v>68</v>
      </c>
      <c r="L49" s="9" t="s">
        <v>1055</v>
      </c>
      <c r="M49" s="9" t="s">
        <v>1056</v>
      </c>
      <c r="N49" s="9" t="s">
        <v>1057</v>
      </c>
      <c r="O49" s="9" t="s">
        <v>1058</v>
      </c>
      <c r="P49" s="9" t="s">
        <v>1059</v>
      </c>
      <c r="Q49" s="9" t="s">
        <v>1060</v>
      </c>
      <c r="R49" s="9" t="s">
        <v>1061</v>
      </c>
      <c r="S49" s="9" t="s">
        <v>1062</v>
      </c>
      <c r="T49" s="9" t="s">
        <v>1063</v>
      </c>
      <c r="U49" s="9" t="s">
        <v>1064</v>
      </c>
      <c r="V49" s="9" t="s">
        <v>1065</v>
      </c>
      <c r="W49" s="9" t="s">
        <v>80</v>
      </c>
      <c r="X49" s="12">
        <v>36</v>
      </c>
      <c r="Y49" s="12">
        <v>388</v>
      </c>
      <c r="Z49" s="12">
        <v>407</v>
      </c>
      <c r="AA49" s="12">
        <v>23</v>
      </c>
      <c r="AB49" s="12">
        <v>353</v>
      </c>
      <c r="AC49" s="9" t="s">
        <v>114</v>
      </c>
      <c r="AD49" s="9" t="s">
        <v>115</v>
      </c>
      <c r="AE49" s="9" t="s">
        <v>116</v>
      </c>
      <c r="AF49" s="9" t="s">
        <v>117</v>
      </c>
      <c r="AG49" s="9" t="s">
        <v>118</v>
      </c>
      <c r="AH49" s="9" t="s">
        <v>86</v>
      </c>
      <c r="AI49" s="9" t="s">
        <v>119</v>
      </c>
      <c r="AJ49" s="9" t="s">
        <v>120</v>
      </c>
      <c r="AK49" s="9" t="s">
        <v>89</v>
      </c>
      <c r="AL49" s="12">
        <v>2017</v>
      </c>
      <c r="AM49" s="12">
        <v>223</v>
      </c>
      <c r="AN49" s="9" t="s">
        <v>86</v>
      </c>
      <c r="AO49" s="9" t="s">
        <v>86</v>
      </c>
      <c r="AP49" s="9" t="s">
        <v>86</v>
      </c>
      <c r="AQ49" s="9" t="s">
        <v>86</v>
      </c>
      <c r="AR49" s="9" t="s">
        <v>86</v>
      </c>
      <c r="AS49" s="12">
        <v>286</v>
      </c>
      <c r="AT49" s="12">
        <v>294</v>
      </c>
      <c r="AU49" s="9" t="s">
        <v>86</v>
      </c>
      <c r="AV49" s="9" t="s">
        <v>86</v>
      </c>
      <c r="AW49" s="9" t="s">
        <v>86</v>
      </c>
      <c r="AX49" s="12">
        <v>9</v>
      </c>
      <c r="AY49" s="9" t="s">
        <v>91</v>
      </c>
      <c r="AZ49" s="9" t="s">
        <v>92</v>
      </c>
      <c r="BA49" s="9" t="s">
        <v>93</v>
      </c>
      <c r="BB49" s="9" t="s">
        <v>1066</v>
      </c>
      <c r="BC49" s="12">
        <v>28117186</v>
      </c>
      <c r="BD49" s="9" t="s">
        <v>86</v>
      </c>
      <c r="BE49" s="9" t="s">
        <v>86</v>
      </c>
      <c r="BF49" s="9" t="s">
        <v>86</v>
      </c>
      <c r="BG49" s="9" t="s">
        <v>95</v>
      </c>
      <c r="BH49" s="9" t="s">
        <v>1067</v>
      </c>
      <c r="BI49" s="9" t="str">
        <f>HYPERLINK("https%3A%2F%2Fwww.webofscience.com%2Fwos%2Fwoscc%2Ffull-record%2FWOS:000397359500031","View Full Record in Web of Science")</f>
        <v>View Full Record in Web of Science</v>
      </c>
    </row>
    <row r="50" spans="1:61" customFormat="1" ht="12.75" x14ac:dyDescent="0.2">
      <c r="A50" s="1">
        <v>46</v>
      </c>
      <c r="B50" s="1" t="s">
        <v>1068</v>
      </c>
      <c r="C50" s="1" t="s">
        <v>1069</v>
      </c>
      <c r="D50" s="2" t="s">
        <v>1070</v>
      </c>
      <c r="E50" s="2" t="s">
        <v>1071</v>
      </c>
      <c r="F50" s="3" t="str">
        <f>HYPERLINK("http://dx.doi.org/10.56042/ijms.v51i08.49207","http://dx.doi.org/10.56042/ijms.v51i08.49207")</f>
        <v>http://dx.doi.org/10.56042/ijms.v51i08.49207</v>
      </c>
      <c r="G50" s="2" t="s">
        <v>200</v>
      </c>
      <c r="H50" s="2" t="s">
        <v>1072</v>
      </c>
      <c r="I50" s="2" t="s">
        <v>1073</v>
      </c>
      <c r="J50" s="2" t="s">
        <v>1074</v>
      </c>
      <c r="K50" s="2" t="s">
        <v>68</v>
      </c>
      <c r="L50" s="2" t="s">
        <v>1075</v>
      </c>
      <c r="M50" s="2" t="s">
        <v>1076</v>
      </c>
      <c r="N50" s="2" t="s">
        <v>1077</v>
      </c>
      <c r="O50" s="2" t="s">
        <v>1078</v>
      </c>
      <c r="P50" s="2" t="s">
        <v>1079</v>
      </c>
      <c r="Q50" s="2" t="s">
        <v>1080</v>
      </c>
      <c r="R50" s="2" t="s">
        <v>1081</v>
      </c>
      <c r="S50" s="2" t="s">
        <v>1082</v>
      </c>
      <c r="T50" s="2" t="s">
        <v>86</v>
      </c>
      <c r="U50" s="2" t="s">
        <v>86</v>
      </c>
      <c r="V50" s="2" t="s">
        <v>86</v>
      </c>
      <c r="W50" s="2" t="s">
        <v>80</v>
      </c>
      <c r="X50" s="4">
        <v>48</v>
      </c>
      <c r="Y50" s="4">
        <v>1</v>
      </c>
      <c r="Z50" s="4">
        <v>1</v>
      </c>
      <c r="AA50" s="4">
        <v>1</v>
      </c>
      <c r="AB50" s="4">
        <v>1</v>
      </c>
      <c r="AC50" s="2" t="s">
        <v>1083</v>
      </c>
      <c r="AD50" s="2" t="s">
        <v>1084</v>
      </c>
      <c r="AE50" s="2" t="s">
        <v>1085</v>
      </c>
      <c r="AF50" s="2" t="s">
        <v>1086</v>
      </c>
      <c r="AG50" s="2" t="s">
        <v>1087</v>
      </c>
      <c r="AH50" s="2" t="s">
        <v>86</v>
      </c>
      <c r="AI50" s="2" t="s">
        <v>1088</v>
      </c>
      <c r="AJ50" s="2" t="s">
        <v>1089</v>
      </c>
      <c r="AK50" s="2" t="s">
        <v>636</v>
      </c>
      <c r="AL50" s="4">
        <v>2022</v>
      </c>
      <c r="AM50" s="4">
        <v>51</v>
      </c>
      <c r="AN50" s="4">
        <v>8</v>
      </c>
      <c r="AO50" s="2" t="s">
        <v>86</v>
      </c>
      <c r="AP50" s="2" t="s">
        <v>86</v>
      </c>
      <c r="AQ50" s="2" t="s">
        <v>86</v>
      </c>
      <c r="AR50" s="2" t="s">
        <v>86</v>
      </c>
      <c r="AS50" s="4">
        <v>663</v>
      </c>
      <c r="AT50" s="4">
        <v>670</v>
      </c>
      <c r="AU50" s="2" t="s">
        <v>86</v>
      </c>
      <c r="AV50" s="2" t="s">
        <v>86</v>
      </c>
      <c r="AW50" s="2" t="s">
        <v>86</v>
      </c>
      <c r="AX50" s="4">
        <v>8</v>
      </c>
      <c r="AY50" s="2" t="s">
        <v>1090</v>
      </c>
      <c r="AZ50" s="2" t="s">
        <v>92</v>
      </c>
      <c r="BA50" s="2" t="s">
        <v>1090</v>
      </c>
      <c r="BB50" s="2" t="s">
        <v>1091</v>
      </c>
      <c r="BC50" s="2" t="s">
        <v>86</v>
      </c>
      <c r="BD50" s="2" t="s">
        <v>86</v>
      </c>
      <c r="BE50" s="2" t="s">
        <v>86</v>
      </c>
      <c r="BF50" s="2" t="s">
        <v>86</v>
      </c>
      <c r="BG50" s="2" t="s">
        <v>95</v>
      </c>
      <c r="BH50" s="2" t="s">
        <v>1092</v>
      </c>
      <c r="BI50" s="2" t="str">
        <f>HYPERLINK("https%3A%2F%2Fwww.webofscience.com%2Fwos%2Fwoscc%2Ffull-record%2FWOS:001019689100001","View Full Record in Web of Science")</f>
        <v>View Full Record in Web of Science</v>
      </c>
    </row>
    <row r="51" spans="1:61" ht="12.75" x14ac:dyDescent="0.2">
      <c r="A51" s="8">
        <v>47</v>
      </c>
      <c r="B51" s="8" t="s">
        <v>1049</v>
      </c>
      <c r="C51" s="8" t="s">
        <v>1093</v>
      </c>
      <c r="D51" s="9" t="s">
        <v>1094</v>
      </c>
      <c r="E51" s="9" t="s">
        <v>1095</v>
      </c>
      <c r="F51" s="11" t="str">
        <f>HYPERLINK("http://dx.doi.org/10.12714/egejfas.37.3.02","http://dx.doi.org/10.12714/egejfas.37.3.02")</f>
        <v>http://dx.doi.org/10.12714/egejfas.37.3.02</v>
      </c>
      <c r="G51" s="9" t="s">
        <v>200</v>
      </c>
      <c r="H51" s="9" t="s">
        <v>1096</v>
      </c>
      <c r="I51" s="9" t="s">
        <v>1097</v>
      </c>
      <c r="J51" s="9" t="s">
        <v>304</v>
      </c>
      <c r="K51" s="9" t="s">
        <v>68</v>
      </c>
      <c r="L51" s="9" t="s">
        <v>1098</v>
      </c>
      <c r="M51" s="9" t="s">
        <v>1099</v>
      </c>
      <c r="N51" s="9" t="s">
        <v>1100</v>
      </c>
      <c r="O51" s="9" t="s">
        <v>1101</v>
      </c>
      <c r="P51" s="9" t="s">
        <v>1102</v>
      </c>
      <c r="Q51" s="9" t="s">
        <v>1103</v>
      </c>
      <c r="R51" s="9" t="s">
        <v>86</v>
      </c>
      <c r="S51" s="9" t="s">
        <v>1104</v>
      </c>
      <c r="T51" s="9" t="s">
        <v>86</v>
      </c>
      <c r="U51" s="9" t="s">
        <v>86</v>
      </c>
      <c r="V51" s="9" t="s">
        <v>86</v>
      </c>
      <c r="W51" s="9" t="s">
        <v>80</v>
      </c>
      <c r="X51" s="12">
        <v>71</v>
      </c>
      <c r="Y51" s="12">
        <v>9</v>
      </c>
      <c r="Z51" s="12">
        <v>9</v>
      </c>
      <c r="AA51" s="12">
        <v>22</v>
      </c>
      <c r="AB51" s="12">
        <v>138</v>
      </c>
      <c r="AC51" s="9" t="s">
        <v>313</v>
      </c>
      <c r="AD51" s="9" t="s">
        <v>314</v>
      </c>
      <c r="AE51" s="9" t="s">
        <v>315</v>
      </c>
      <c r="AF51" s="9" t="s">
        <v>316</v>
      </c>
      <c r="AG51" s="9" t="s">
        <v>317</v>
      </c>
      <c r="AH51" s="9" t="s">
        <v>86</v>
      </c>
      <c r="AI51" s="9" t="s">
        <v>304</v>
      </c>
      <c r="AJ51" s="9" t="s">
        <v>1105</v>
      </c>
      <c r="AK51" s="9" t="s">
        <v>86</v>
      </c>
      <c r="AL51" s="12">
        <v>2020</v>
      </c>
      <c r="AM51" s="12">
        <v>37</v>
      </c>
      <c r="AN51" s="12">
        <v>3</v>
      </c>
      <c r="AO51" s="9" t="s">
        <v>86</v>
      </c>
      <c r="AP51" s="9" t="s">
        <v>86</v>
      </c>
      <c r="AQ51" s="9" t="s">
        <v>86</v>
      </c>
      <c r="AR51" s="9" t="s">
        <v>86</v>
      </c>
      <c r="AS51" s="12">
        <v>213</v>
      </c>
      <c r="AT51" s="12">
        <v>221</v>
      </c>
      <c r="AU51" s="9" t="s">
        <v>86</v>
      </c>
      <c r="AV51" s="9" t="s">
        <v>86</v>
      </c>
      <c r="AW51" s="9" t="s">
        <v>86</v>
      </c>
      <c r="AX51" s="12">
        <v>9</v>
      </c>
      <c r="AY51" s="9" t="s">
        <v>319</v>
      </c>
      <c r="AZ51" s="9" t="s">
        <v>171</v>
      </c>
      <c r="BA51" s="9" t="s">
        <v>319</v>
      </c>
      <c r="BB51" s="9" t="s">
        <v>1106</v>
      </c>
      <c r="BC51" s="9" t="s">
        <v>86</v>
      </c>
      <c r="BD51" s="9" t="s">
        <v>321</v>
      </c>
      <c r="BE51" s="9" t="s">
        <v>86</v>
      </c>
      <c r="BF51" s="9" t="s">
        <v>86</v>
      </c>
      <c r="BG51" s="9" t="s">
        <v>95</v>
      </c>
      <c r="BH51" s="9" t="s">
        <v>1107</v>
      </c>
      <c r="BI51" s="9" t="str">
        <f>HYPERLINK("https%3A%2F%2Fwww.webofscience.com%2Fwos%2Fwoscc%2Ffull-record%2FWOS:000605750800002","View Full Record in Web of Science")</f>
        <v>View Full Record in Web of Science</v>
      </c>
    </row>
    <row r="52" spans="1:61" customFormat="1" ht="12.75" x14ac:dyDescent="0.2">
      <c r="A52" s="1">
        <v>48</v>
      </c>
      <c r="B52" s="1" t="s">
        <v>1068</v>
      </c>
      <c r="C52" s="1" t="s">
        <v>1108</v>
      </c>
      <c r="D52" s="2" t="s">
        <v>1109</v>
      </c>
      <c r="E52" s="2" t="s">
        <v>1110</v>
      </c>
      <c r="F52" s="3" t="str">
        <f>HYPERLINK("http://dx.doi.org/10.12714/egejfas.2018.35.3.03","http://dx.doi.org/10.12714/egejfas.2018.35.3.03")</f>
        <v>http://dx.doi.org/10.12714/egejfas.2018.35.3.03</v>
      </c>
      <c r="G52" s="2" t="s">
        <v>200</v>
      </c>
      <c r="H52" s="2" t="s">
        <v>422</v>
      </c>
      <c r="I52" s="2" t="s">
        <v>423</v>
      </c>
      <c r="J52" s="2" t="s">
        <v>304</v>
      </c>
      <c r="K52" s="2" t="s">
        <v>305</v>
      </c>
      <c r="L52" s="2" t="s">
        <v>1111</v>
      </c>
      <c r="M52" s="2" t="s">
        <v>1112</v>
      </c>
      <c r="N52" s="2" t="s">
        <v>1113</v>
      </c>
      <c r="O52" s="2" t="s">
        <v>428</v>
      </c>
      <c r="P52" s="2" t="s">
        <v>1114</v>
      </c>
      <c r="Q52" s="2" t="s">
        <v>430</v>
      </c>
      <c r="R52" s="2" t="s">
        <v>431</v>
      </c>
      <c r="S52" s="2" t="s">
        <v>432</v>
      </c>
      <c r="T52" s="2" t="s">
        <v>86</v>
      </c>
      <c r="U52" s="2" t="s">
        <v>86</v>
      </c>
      <c r="V52" s="2" t="s">
        <v>86</v>
      </c>
      <c r="W52" s="2" t="s">
        <v>80</v>
      </c>
      <c r="X52" s="4">
        <v>44</v>
      </c>
      <c r="Y52" s="4">
        <v>1</v>
      </c>
      <c r="Z52" s="4">
        <v>1</v>
      </c>
      <c r="AA52" s="4">
        <v>3</v>
      </c>
      <c r="AB52" s="4">
        <v>34</v>
      </c>
      <c r="AC52" s="2" t="s">
        <v>313</v>
      </c>
      <c r="AD52" s="2" t="s">
        <v>314</v>
      </c>
      <c r="AE52" s="2" t="s">
        <v>315</v>
      </c>
      <c r="AF52" s="2" t="s">
        <v>316</v>
      </c>
      <c r="AG52" s="2" t="s">
        <v>317</v>
      </c>
      <c r="AH52" s="2" t="s">
        <v>86</v>
      </c>
      <c r="AI52" s="2" t="s">
        <v>304</v>
      </c>
      <c r="AJ52" s="2" t="s">
        <v>318</v>
      </c>
      <c r="AK52" s="2" t="s">
        <v>86</v>
      </c>
      <c r="AL52" s="4">
        <v>2018</v>
      </c>
      <c r="AM52" s="4">
        <v>35</v>
      </c>
      <c r="AN52" s="4">
        <v>3</v>
      </c>
      <c r="AO52" s="2" t="s">
        <v>86</v>
      </c>
      <c r="AP52" s="2" t="s">
        <v>86</v>
      </c>
      <c r="AQ52" s="2" t="s">
        <v>86</v>
      </c>
      <c r="AR52" s="2" t="s">
        <v>86</v>
      </c>
      <c r="AS52" s="4">
        <v>243</v>
      </c>
      <c r="AT52" s="4">
        <v>249</v>
      </c>
      <c r="AU52" s="2" t="s">
        <v>86</v>
      </c>
      <c r="AV52" s="2" t="s">
        <v>86</v>
      </c>
      <c r="AW52" s="2" t="s">
        <v>86</v>
      </c>
      <c r="AX52" s="4">
        <v>7</v>
      </c>
      <c r="AY52" s="2" t="s">
        <v>319</v>
      </c>
      <c r="AZ52" s="2" t="s">
        <v>171</v>
      </c>
      <c r="BA52" s="2" t="s">
        <v>319</v>
      </c>
      <c r="BB52" s="2" t="s">
        <v>1115</v>
      </c>
      <c r="BC52" s="2" t="s">
        <v>86</v>
      </c>
      <c r="BD52" s="2" t="s">
        <v>940</v>
      </c>
      <c r="BE52" s="2" t="s">
        <v>86</v>
      </c>
      <c r="BF52" s="2" t="s">
        <v>86</v>
      </c>
      <c r="BG52" s="2" t="s">
        <v>95</v>
      </c>
      <c r="BH52" s="2" t="s">
        <v>1116</v>
      </c>
      <c r="BI52" s="2" t="str">
        <f>HYPERLINK("https%3A%2F%2Fwww.webofscience.com%2Fwos%2Fwoscc%2Ffull-record%2FWOS:000456094300003","View Full Record in Web of Science")</f>
        <v>View Full Record in Web of Science</v>
      </c>
    </row>
    <row r="53" spans="1:61" customFormat="1" ht="12.75" x14ac:dyDescent="0.2">
      <c r="A53" s="1">
        <v>49</v>
      </c>
      <c r="B53" s="1" t="s">
        <v>1068</v>
      </c>
      <c r="C53" s="1" t="s">
        <v>1117</v>
      </c>
      <c r="D53" s="2" t="s">
        <v>1118</v>
      </c>
      <c r="E53" s="2" t="s">
        <v>1119</v>
      </c>
      <c r="F53" s="3" t="str">
        <f>HYPERLINK("http://dx.doi.org/10.1007/s11270-022-05962-6","http://dx.doi.org/10.1007/s11270-022-05962-6")</f>
        <v>http://dx.doi.org/10.1007/s11270-022-05962-6</v>
      </c>
      <c r="G53" s="2" t="s">
        <v>200</v>
      </c>
      <c r="H53" s="2" t="s">
        <v>1120</v>
      </c>
      <c r="I53" s="2" t="s">
        <v>1121</v>
      </c>
      <c r="J53" s="2" t="s">
        <v>1122</v>
      </c>
      <c r="K53" s="2" t="s">
        <v>68</v>
      </c>
      <c r="L53" s="2" t="s">
        <v>1123</v>
      </c>
      <c r="M53" s="2" t="s">
        <v>1124</v>
      </c>
      <c r="N53" s="2" t="s">
        <v>1125</v>
      </c>
      <c r="O53" s="2" t="s">
        <v>1101</v>
      </c>
      <c r="P53" s="2" t="s">
        <v>1126</v>
      </c>
      <c r="Q53" s="2" t="s">
        <v>1103</v>
      </c>
      <c r="R53" s="2" t="s">
        <v>86</v>
      </c>
      <c r="S53" s="2" t="s">
        <v>1104</v>
      </c>
      <c r="T53" s="2" t="s">
        <v>1127</v>
      </c>
      <c r="U53" s="2" t="s">
        <v>1128</v>
      </c>
      <c r="V53" s="2" t="s">
        <v>1129</v>
      </c>
      <c r="W53" s="2" t="s">
        <v>80</v>
      </c>
      <c r="X53" s="4">
        <v>82</v>
      </c>
      <c r="Y53" s="4">
        <v>1</v>
      </c>
      <c r="Z53" s="4">
        <v>1</v>
      </c>
      <c r="AA53" s="4">
        <v>16</v>
      </c>
      <c r="AB53" s="4">
        <v>24</v>
      </c>
      <c r="AC53" s="2" t="s">
        <v>1130</v>
      </c>
      <c r="AD53" s="2" t="s">
        <v>1131</v>
      </c>
      <c r="AE53" s="2" t="s">
        <v>1132</v>
      </c>
      <c r="AF53" s="2" t="s">
        <v>1133</v>
      </c>
      <c r="AG53" s="2" t="s">
        <v>1134</v>
      </c>
      <c r="AH53" s="2" t="s">
        <v>86</v>
      </c>
      <c r="AI53" s="2" t="s">
        <v>1135</v>
      </c>
      <c r="AJ53" s="2" t="s">
        <v>1136</v>
      </c>
      <c r="AK53" s="2" t="s">
        <v>217</v>
      </c>
      <c r="AL53" s="4">
        <v>2022</v>
      </c>
      <c r="AM53" s="4">
        <v>233</v>
      </c>
      <c r="AN53" s="4">
        <v>12</v>
      </c>
      <c r="AO53" s="2" t="s">
        <v>86</v>
      </c>
      <c r="AP53" s="2" t="s">
        <v>86</v>
      </c>
      <c r="AQ53" s="2" t="s">
        <v>86</v>
      </c>
      <c r="AR53" s="2" t="s">
        <v>86</v>
      </c>
      <c r="AS53" s="2" t="s">
        <v>86</v>
      </c>
      <c r="AT53" s="2" t="s">
        <v>86</v>
      </c>
      <c r="AU53" s="4">
        <v>488</v>
      </c>
      <c r="AV53" s="2" t="s">
        <v>86</v>
      </c>
      <c r="AW53" s="2" t="s">
        <v>86</v>
      </c>
      <c r="AX53" s="4">
        <v>14</v>
      </c>
      <c r="AY53" s="2" t="s">
        <v>1137</v>
      </c>
      <c r="AZ53" s="2" t="s">
        <v>92</v>
      </c>
      <c r="BA53" s="2" t="s">
        <v>1138</v>
      </c>
      <c r="BB53" s="2" t="s">
        <v>1139</v>
      </c>
      <c r="BC53" s="2" t="s">
        <v>86</v>
      </c>
      <c r="BD53" s="2" t="s">
        <v>86</v>
      </c>
      <c r="BE53" s="2" t="s">
        <v>86</v>
      </c>
      <c r="BF53" s="2" t="s">
        <v>86</v>
      </c>
      <c r="BG53" s="2" t="s">
        <v>95</v>
      </c>
      <c r="BH53" s="2" t="s">
        <v>1140</v>
      </c>
      <c r="BI53" s="2" t="str">
        <f>HYPERLINK("https%3A%2F%2Fwww.webofscience.com%2Fwos%2Fwoscc%2Ffull-record%2FWOS:000886201000002","View Full Record in Web of Science")</f>
        <v>View Full Record in Web of Science</v>
      </c>
    </row>
    <row r="54" spans="1:61" ht="12.75" x14ac:dyDescent="0.2">
      <c r="A54" s="8">
        <v>50</v>
      </c>
      <c r="B54" s="8" t="s">
        <v>1049</v>
      </c>
      <c r="C54" s="8" t="s">
        <v>1141</v>
      </c>
      <c r="D54" s="9" t="s">
        <v>1142</v>
      </c>
      <c r="E54" s="9" t="s">
        <v>1143</v>
      </c>
      <c r="F54" s="11" t="str">
        <f>HYPERLINK("http://dx.doi.org/10.1080/19440049.2021.1941304","http://dx.doi.org/10.1080/19440049.2021.1941304")</f>
        <v>http://dx.doi.org/10.1080/19440049.2021.1941304</v>
      </c>
      <c r="G54" s="9" t="s">
        <v>200</v>
      </c>
      <c r="H54" s="9" t="s">
        <v>1144</v>
      </c>
      <c r="I54" s="9" t="s">
        <v>1145</v>
      </c>
      <c r="J54" s="9" t="s">
        <v>1146</v>
      </c>
      <c r="K54" s="9" t="s">
        <v>68</v>
      </c>
      <c r="L54" s="9" t="s">
        <v>1147</v>
      </c>
      <c r="M54" s="9" t="s">
        <v>1148</v>
      </c>
      <c r="N54" s="9" t="s">
        <v>1149</v>
      </c>
      <c r="O54" s="9" t="s">
        <v>1150</v>
      </c>
      <c r="P54" s="9" t="s">
        <v>1151</v>
      </c>
      <c r="Q54" s="9" t="s">
        <v>1152</v>
      </c>
      <c r="R54" s="9" t="s">
        <v>1153</v>
      </c>
      <c r="S54" s="9" t="s">
        <v>1154</v>
      </c>
      <c r="T54" s="9" t="s">
        <v>86</v>
      </c>
      <c r="U54" s="9" t="s">
        <v>86</v>
      </c>
      <c r="V54" s="9" t="s">
        <v>86</v>
      </c>
      <c r="W54" s="9" t="s">
        <v>80</v>
      </c>
      <c r="X54" s="12">
        <v>61</v>
      </c>
      <c r="Y54" s="12">
        <v>13</v>
      </c>
      <c r="Z54" s="12">
        <v>14</v>
      </c>
      <c r="AA54" s="12">
        <v>5</v>
      </c>
      <c r="AB54" s="12">
        <v>39</v>
      </c>
      <c r="AC54" s="9" t="s">
        <v>286</v>
      </c>
      <c r="AD54" s="9" t="s">
        <v>287</v>
      </c>
      <c r="AE54" s="9" t="s">
        <v>288</v>
      </c>
      <c r="AF54" s="9" t="s">
        <v>1155</v>
      </c>
      <c r="AG54" s="9" t="s">
        <v>1156</v>
      </c>
      <c r="AH54" s="9" t="s">
        <v>86</v>
      </c>
      <c r="AI54" s="9" t="s">
        <v>1157</v>
      </c>
      <c r="AJ54" s="9" t="s">
        <v>1158</v>
      </c>
      <c r="AK54" s="9" t="s">
        <v>1159</v>
      </c>
      <c r="AL54" s="12">
        <v>2021</v>
      </c>
      <c r="AM54" s="12">
        <v>38</v>
      </c>
      <c r="AN54" s="12">
        <v>10</v>
      </c>
      <c r="AO54" s="9" t="s">
        <v>86</v>
      </c>
      <c r="AP54" s="9" t="s">
        <v>86</v>
      </c>
      <c r="AQ54" s="9" t="s">
        <v>86</v>
      </c>
      <c r="AR54" s="9" t="s">
        <v>86</v>
      </c>
      <c r="AS54" s="12">
        <v>1767</v>
      </c>
      <c r="AT54" s="12">
        <v>1777</v>
      </c>
      <c r="AU54" s="9" t="s">
        <v>86</v>
      </c>
      <c r="AV54" s="9" t="s">
        <v>86</v>
      </c>
      <c r="AW54" s="9" t="s">
        <v>1160</v>
      </c>
      <c r="AX54" s="12">
        <v>11</v>
      </c>
      <c r="AY54" s="9" t="s">
        <v>1161</v>
      </c>
      <c r="AZ54" s="9" t="s">
        <v>92</v>
      </c>
      <c r="BA54" s="9" t="s">
        <v>1162</v>
      </c>
      <c r="BB54" s="9" t="s">
        <v>1163</v>
      </c>
      <c r="BC54" s="12">
        <v>34237241</v>
      </c>
      <c r="BD54" s="9" t="s">
        <v>86</v>
      </c>
      <c r="BE54" s="9" t="s">
        <v>86</v>
      </c>
      <c r="BF54" s="9" t="s">
        <v>86</v>
      </c>
      <c r="BG54" s="9" t="s">
        <v>95</v>
      </c>
      <c r="BH54" s="9" t="s">
        <v>1164</v>
      </c>
      <c r="BI54" s="9" t="str">
        <f>HYPERLINK("https%3A%2F%2Fwww.webofscience.com%2Fwos%2Fwoscc%2Ffull-record%2FWOS:000670831100001","View Full Record in Web of Science")</f>
        <v>View Full Record in Web of Science</v>
      </c>
    </row>
    <row r="55" spans="1:61" ht="12.75" x14ac:dyDescent="0.2">
      <c r="A55" s="8">
        <v>51</v>
      </c>
      <c r="B55" s="8" t="s">
        <v>1049</v>
      </c>
      <c r="C55" s="8" t="s">
        <v>1165</v>
      </c>
      <c r="D55" s="9" t="s">
        <v>1166</v>
      </c>
      <c r="E55" s="9" t="s">
        <v>1167</v>
      </c>
      <c r="F55" s="11" t="str">
        <f>HYPERLINK("http://dx.doi.org/10.12714/egejfas.2017.34.4.06","http://dx.doi.org/10.12714/egejfas.2017.34.4.06")</f>
        <v>http://dx.doi.org/10.12714/egejfas.2017.34.4.06</v>
      </c>
      <c r="G55" s="9" t="s">
        <v>200</v>
      </c>
      <c r="H55" s="9" t="s">
        <v>1168</v>
      </c>
      <c r="I55" s="9" t="s">
        <v>1169</v>
      </c>
      <c r="J55" s="9" t="s">
        <v>304</v>
      </c>
      <c r="K55" s="9" t="s">
        <v>68</v>
      </c>
      <c r="L55" s="9" t="s">
        <v>1170</v>
      </c>
      <c r="M55" s="9" t="s">
        <v>1171</v>
      </c>
      <c r="N55" s="9" t="s">
        <v>1172</v>
      </c>
      <c r="O55" s="9" t="s">
        <v>1173</v>
      </c>
      <c r="P55" s="9" t="s">
        <v>1174</v>
      </c>
      <c r="Q55" s="9" t="s">
        <v>74</v>
      </c>
      <c r="R55" s="9" t="s">
        <v>1175</v>
      </c>
      <c r="S55" s="9" t="s">
        <v>1176</v>
      </c>
      <c r="T55" s="9" t="s">
        <v>1177</v>
      </c>
      <c r="U55" s="9" t="s">
        <v>1178</v>
      </c>
      <c r="V55" s="9" t="s">
        <v>1179</v>
      </c>
      <c r="W55" s="9" t="s">
        <v>80</v>
      </c>
      <c r="X55" s="12">
        <v>32</v>
      </c>
      <c r="Y55" s="12">
        <v>28</v>
      </c>
      <c r="Z55" s="12">
        <v>31</v>
      </c>
      <c r="AA55" s="12">
        <v>1</v>
      </c>
      <c r="AB55" s="12">
        <v>14</v>
      </c>
      <c r="AC55" s="9" t="s">
        <v>313</v>
      </c>
      <c r="AD55" s="9" t="s">
        <v>314</v>
      </c>
      <c r="AE55" s="9" t="s">
        <v>315</v>
      </c>
      <c r="AF55" s="9" t="s">
        <v>316</v>
      </c>
      <c r="AG55" s="9" t="s">
        <v>317</v>
      </c>
      <c r="AH55" s="9" t="s">
        <v>86</v>
      </c>
      <c r="AI55" s="9" t="s">
        <v>1180</v>
      </c>
      <c r="AJ55" s="9" t="s">
        <v>1105</v>
      </c>
      <c r="AK55" s="9" t="s">
        <v>86</v>
      </c>
      <c r="AL55" s="12">
        <v>2017</v>
      </c>
      <c r="AM55" s="12">
        <v>34</v>
      </c>
      <c r="AN55" s="12">
        <v>4</v>
      </c>
      <c r="AO55" s="9" t="s">
        <v>86</v>
      </c>
      <c r="AP55" s="9" t="s">
        <v>86</v>
      </c>
      <c r="AQ55" s="9" t="s">
        <v>86</v>
      </c>
      <c r="AR55" s="9" t="s">
        <v>86</v>
      </c>
      <c r="AS55" s="12">
        <v>401</v>
      </c>
      <c r="AT55" s="12">
        <v>408</v>
      </c>
      <c r="AU55" s="9" t="s">
        <v>86</v>
      </c>
      <c r="AV55" s="9" t="s">
        <v>86</v>
      </c>
      <c r="AW55" s="9" t="s">
        <v>86</v>
      </c>
      <c r="AX55" s="12">
        <v>8</v>
      </c>
      <c r="AY55" s="9" t="s">
        <v>319</v>
      </c>
      <c r="AZ55" s="9" t="s">
        <v>171</v>
      </c>
      <c r="BA55" s="9" t="s">
        <v>319</v>
      </c>
      <c r="BB55" s="9" t="s">
        <v>1181</v>
      </c>
      <c r="BC55" s="9" t="s">
        <v>86</v>
      </c>
      <c r="BD55" s="9" t="s">
        <v>1182</v>
      </c>
      <c r="BE55" s="9" t="s">
        <v>86</v>
      </c>
      <c r="BF55" s="9" t="s">
        <v>86</v>
      </c>
      <c r="BG55" s="9" t="s">
        <v>95</v>
      </c>
      <c r="BH55" s="9" t="s">
        <v>1183</v>
      </c>
      <c r="BI55" s="9" t="str">
        <f>HYPERLINK("https%3A%2F%2Fwww.webofscience.com%2Fwos%2Fwoscc%2Ffull-record%2FWOS:000423295400006","View Full Record in Web of Science")</f>
        <v>View Full Record in Web of Science</v>
      </c>
    </row>
    <row r="56" spans="1:61" ht="12.75" x14ac:dyDescent="0.2">
      <c r="A56" s="8">
        <v>52</v>
      </c>
      <c r="B56" s="8" t="s">
        <v>1049</v>
      </c>
      <c r="C56" s="8" t="s">
        <v>1184</v>
      </c>
      <c r="D56" s="9" t="s">
        <v>1185</v>
      </c>
      <c r="E56" s="9" t="s">
        <v>1186</v>
      </c>
      <c r="F56" s="11" t="str">
        <f>HYPERLINK("http://dx.doi.org/10.1007/s11270-022-05908-y","http://dx.doi.org/10.1007/s11270-022-05908-y")</f>
        <v>http://dx.doi.org/10.1007/s11270-022-05908-y</v>
      </c>
      <c r="G56" s="9" t="s">
        <v>200</v>
      </c>
      <c r="H56" s="9" t="s">
        <v>1187</v>
      </c>
      <c r="I56" s="9" t="s">
        <v>1188</v>
      </c>
      <c r="J56" s="9" t="s">
        <v>1122</v>
      </c>
      <c r="K56" s="9" t="s">
        <v>68</v>
      </c>
      <c r="L56" s="9" t="s">
        <v>1189</v>
      </c>
      <c r="M56" s="9" t="s">
        <v>1190</v>
      </c>
      <c r="N56" s="9" t="s">
        <v>1191</v>
      </c>
      <c r="O56" s="9" t="s">
        <v>1192</v>
      </c>
      <c r="P56" s="9" t="s">
        <v>1193</v>
      </c>
      <c r="Q56" s="9" t="s">
        <v>1194</v>
      </c>
      <c r="R56" s="9" t="s">
        <v>1195</v>
      </c>
      <c r="S56" s="9" t="s">
        <v>1196</v>
      </c>
      <c r="T56" s="9" t="s">
        <v>1197</v>
      </c>
      <c r="U56" s="9" t="s">
        <v>1198</v>
      </c>
      <c r="V56" s="9" t="s">
        <v>1199</v>
      </c>
      <c r="W56" s="9" t="s">
        <v>80</v>
      </c>
      <c r="X56" s="12">
        <v>107</v>
      </c>
      <c r="Y56" s="12">
        <v>0</v>
      </c>
      <c r="Z56" s="12">
        <v>0</v>
      </c>
      <c r="AA56" s="12">
        <v>13</v>
      </c>
      <c r="AB56" s="12">
        <v>26</v>
      </c>
      <c r="AC56" s="9" t="s">
        <v>1130</v>
      </c>
      <c r="AD56" s="9" t="s">
        <v>1131</v>
      </c>
      <c r="AE56" s="9" t="s">
        <v>1132</v>
      </c>
      <c r="AF56" s="9" t="s">
        <v>1133</v>
      </c>
      <c r="AG56" s="9" t="s">
        <v>1134</v>
      </c>
      <c r="AH56" s="9" t="s">
        <v>86</v>
      </c>
      <c r="AI56" s="9" t="s">
        <v>1135</v>
      </c>
      <c r="AJ56" s="9" t="s">
        <v>1136</v>
      </c>
      <c r="AK56" s="9" t="s">
        <v>121</v>
      </c>
      <c r="AL56" s="12">
        <v>2022</v>
      </c>
      <c r="AM56" s="12">
        <v>233</v>
      </c>
      <c r="AN56" s="12">
        <v>11</v>
      </c>
      <c r="AO56" s="9" t="s">
        <v>86</v>
      </c>
      <c r="AP56" s="9" t="s">
        <v>86</v>
      </c>
      <c r="AQ56" s="9" t="s">
        <v>86</v>
      </c>
      <c r="AR56" s="9" t="s">
        <v>86</v>
      </c>
      <c r="AS56" s="9" t="s">
        <v>86</v>
      </c>
      <c r="AT56" s="9" t="s">
        <v>86</v>
      </c>
      <c r="AU56" s="12">
        <v>449</v>
      </c>
      <c r="AV56" s="9" t="s">
        <v>86</v>
      </c>
      <c r="AW56" s="9" t="s">
        <v>86</v>
      </c>
      <c r="AX56" s="12">
        <v>17</v>
      </c>
      <c r="AY56" s="9" t="s">
        <v>1137</v>
      </c>
      <c r="AZ56" s="9" t="s">
        <v>92</v>
      </c>
      <c r="BA56" s="9" t="s">
        <v>1138</v>
      </c>
      <c r="BB56" s="9" t="s">
        <v>1200</v>
      </c>
      <c r="BC56" s="9" t="s">
        <v>86</v>
      </c>
      <c r="BD56" s="9" t="s">
        <v>86</v>
      </c>
      <c r="BE56" s="9" t="s">
        <v>86</v>
      </c>
      <c r="BF56" s="9" t="s">
        <v>86</v>
      </c>
      <c r="BG56" s="9" t="s">
        <v>95</v>
      </c>
      <c r="BH56" s="9" t="s">
        <v>1201</v>
      </c>
      <c r="BI56" s="9" t="str">
        <f>HYPERLINK("https%3A%2F%2Fwww.webofscience.com%2Fwos%2Fwoscc%2Ffull-record%2FWOS:000878665600004","View Full Record in Web of Science")</f>
        <v>View Full Record in Web of Science</v>
      </c>
    </row>
    <row r="57" spans="1:61" customFormat="1" ht="12.75" x14ac:dyDescent="0.2">
      <c r="A57" s="1">
        <v>53</v>
      </c>
      <c r="B57" s="1" t="s">
        <v>1068</v>
      </c>
      <c r="C57" s="1" t="s">
        <v>1202</v>
      </c>
      <c r="D57" s="2" t="s">
        <v>1203</v>
      </c>
      <c r="E57" s="2" t="s">
        <v>1204</v>
      </c>
      <c r="F57" s="3" t="str">
        <f>HYPERLINK("http://dx.doi.org/10.1016/j.fct.2023.113698","http://dx.doi.org/10.1016/j.fct.2023.113698")</f>
        <v>http://dx.doi.org/10.1016/j.fct.2023.113698</v>
      </c>
      <c r="G57" s="2" t="s">
        <v>200</v>
      </c>
      <c r="H57" s="2" t="s">
        <v>1205</v>
      </c>
      <c r="I57" s="2" t="s">
        <v>1206</v>
      </c>
      <c r="J57" s="2" t="s">
        <v>1207</v>
      </c>
      <c r="K57" s="2" t="s">
        <v>68</v>
      </c>
      <c r="L57" s="2" t="s">
        <v>1208</v>
      </c>
      <c r="M57" s="2" t="s">
        <v>1209</v>
      </c>
      <c r="N57" s="2" t="s">
        <v>1210</v>
      </c>
      <c r="O57" s="2" t="s">
        <v>1211</v>
      </c>
      <c r="P57" s="2" t="s">
        <v>1212</v>
      </c>
      <c r="Q57" s="2" t="s">
        <v>1213</v>
      </c>
      <c r="R57" s="2" t="s">
        <v>1214</v>
      </c>
      <c r="S57" s="2" t="s">
        <v>1215</v>
      </c>
      <c r="T57" s="2" t="s">
        <v>86</v>
      </c>
      <c r="U57" s="2" t="s">
        <v>86</v>
      </c>
      <c r="V57" s="2" t="s">
        <v>86</v>
      </c>
      <c r="W57" s="2" t="s">
        <v>80</v>
      </c>
      <c r="X57" s="4">
        <v>99</v>
      </c>
      <c r="Y57" s="4">
        <v>0</v>
      </c>
      <c r="Z57" s="4">
        <v>0</v>
      </c>
      <c r="AA57" s="4">
        <v>10</v>
      </c>
      <c r="AB57" s="4">
        <v>10</v>
      </c>
      <c r="AC57" s="2" t="s">
        <v>237</v>
      </c>
      <c r="AD57" s="2" t="s">
        <v>115</v>
      </c>
      <c r="AE57" s="2" t="s">
        <v>238</v>
      </c>
      <c r="AF57" s="2" t="s">
        <v>1216</v>
      </c>
      <c r="AG57" s="2" t="s">
        <v>1217</v>
      </c>
      <c r="AH57" s="2" t="s">
        <v>86</v>
      </c>
      <c r="AI57" s="2" t="s">
        <v>1218</v>
      </c>
      <c r="AJ57" s="2" t="s">
        <v>1219</v>
      </c>
      <c r="AK57" s="2" t="s">
        <v>1220</v>
      </c>
      <c r="AL57" s="4">
        <v>2023</v>
      </c>
      <c r="AM57" s="4">
        <v>175</v>
      </c>
      <c r="AN57" s="2" t="s">
        <v>86</v>
      </c>
      <c r="AO57" s="2" t="s">
        <v>86</v>
      </c>
      <c r="AP57" s="2" t="s">
        <v>86</v>
      </c>
      <c r="AQ57" s="2" t="s">
        <v>86</v>
      </c>
      <c r="AR57" s="2" t="s">
        <v>86</v>
      </c>
      <c r="AS57" s="2" t="s">
        <v>86</v>
      </c>
      <c r="AT57" s="2" t="s">
        <v>86</v>
      </c>
      <c r="AU57" s="4">
        <v>113698</v>
      </c>
      <c r="AV57" s="2" t="s">
        <v>86</v>
      </c>
      <c r="AW57" s="2" t="s">
        <v>1221</v>
      </c>
      <c r="AX57" s="4">
        <v>13</v>
      </c>
      <c r="AY57" s="2" t="s">
        <v>1222</v>
      </c>
      <c r="AZ57" s="2" t="s">
        <v>92</v>
      </c>
      <c r="BA57" s="2" t="s">
        <v>1222</v>
      </c>
      <c r="BB57" s="2" t="s">
        <v>1223</v>
      </c>
      <c r="BC57" s="4">
        <v>36889431</v>
      </c>
      <c r="BD57" s="2" t="s">
        <v>86</v>
      </c>
      <c r="BE57" s="2" t="s">
        <v>86</v>
      </c>
      <c r="BF57" s="2" t="s">
        <v>86</v>
      </c>
      <c r="BG57" s="2" t="s">
        <v>95</v>
      </c>
      <c r="BH57" s="2" t="s">
        <v>1224</v>
      </c>
      <c r="BI57" s="2" t="str">
        <f>HYPERLINK("https%3A%2F%2Fwww.webofscience.com%2Fwos%2Fwoscc%2Ffull-record%2FWOS:000955236100001","View Full Record in Web of Science")</f>
        <v>View Full Record in Web of Science</v>
      </c>
    </row>
    <row r="58" spans="1:61" ht="12.75" x14ac:dyDescent="0.2">
      <c r="A58" s="8">
        <v>54</v>
      </c>
      <c r="B58" s="8" t="s">
        <v>1049</v>
      </c>
      <c r="C58" s="8" t="s">
        <v>1225</v>
      </c>
      <c r="D58" s="9" t="s">
        <v>1226</v>
      </c>
      <c r="E58" s="9" t="s">
        <v>1227</v>
      </c>
      <c r="F58" s="11" t="str">
        <f>HYPERLINK("http://dx.doi.org/10.1016/j.marpolbul.2022.113556","http://dx.doi.org/10.1016/j.marpolbul.2022.113556")</f>
        <v>http://dx.doi.org/10.1016/j.marpolbul.2022.113556</v>
      </c>
      <c r="G58" s="9" t="s">
        <v>200</v>
      </c>
      <c r="H58" s="9" t="s">
        <v>1228</v>
      </c>
      <c r="I58" s="9" t="s">
        <v>1229</v>
      </c>
      <c r="J58" s="9" t="s">
        <v>424</v>
      </c>
      <c r="K58" s="9" t="s">
        <v>68</v>
      </c>
      <c r="L58" s="9" t="s">
        <v>1230</v>
      </c>
      <c r="M58" s="9" t="s">
        <v>1231</v>
      </c>
      <c r="N58" s="9" t="s">
        <v>1232</v>
      </c>
      <c r="O58" s="9" t="s">
        <v>1233</v>
      </c>
      <c r="P58" s="9" t="s">
        <v>1234</v>
      </c>
      <c r="Q58" s="9" t="s">
        <v>1235</v>
      </c>
      <c r="R58" s="9" t="s">
        <v>1236</v>
      </c>
      <c r="S58" s="9" t="s">
        <v>1237</v>
      </c>
      <c r="T58" s="9" t="s">
        <v>86</v>
      </c>
      <c r="U58" s="9" t="s">
        <v>86</v>
      </c>
      <c r="V58" s="9" t="s">
        <v>86</v>
      </c>
      <c r="W58" s="9" t="s">
        <v>80</v>
      </c>
      <c r="X58" s="12">
        <v>79</v>
      </c>
      <c r="Y58" s="12">
        <v>16</v>
      </c>
      <c r="Z58" s="12">
        <v>16</v>
      </c>
      <c r="AA58" s="12">
        <v>12</v>
      </c>
      <c r="AB58" s="12">
        <v>58</v>
      </c>
      <c r="AC58" s="9" t="s">
        <v>237</v>
      </c>
      <c r="AD58" s="9" t="s">
        <v>115</v>
      </c>
      <c r="AE58" s="9" t="s">
        <v>238</v>
      </c>
      <c r="AF58" s="9" t="s">
        <v>436</v>
      </c>
      <c r="AG58" s="9" t="s">
        <v>437</v>
      </c>
      <c r="AH58" s="9" t="s">
        <v>86</v>
      </c>
      <c r="AI58" s="9" t="s">
        <v>438</v>
      </c>
      <c r="AJ58" s="9" t="s">
        <v>439</v>
      </c>
      <c r="AK58" s="9" t="s">
        <v>89</v>
      </c>
      <c r="AL58" s="12">
        <v>2022</v>
      </c>
      <c r="AM58" s="12">
        <v>177</v>
      </c>
      <c r="AN58" s="9" t="s">
        <v>86</v>
      </c>
      <c r="AO58" s="9" t="s">
        <v>86</v>
      </c>
      <c r="AP58" s="9" t="s">
        <v>86</v>
      </c>
      <c r="AQ58" s="9" t="s">
        <v>86</v>
      </c>
      <c r="AR58" s="9" t="s">
        <v>86</v>
      </c>
      <c r="AS58" s="9" t="s">
        <v>86</v>
      </c>
      <c r="AT58" s="9" t="s">
        <v>86</v>
      </c>
      <c r="AU58" s="12">
        <v>113556</v>
      </c>
      <c r="AV58" s="9" t="s">
        <v>86</v>
      </c>
      <c r="AW58" s="9" t="s">
        <v>1238</v>
      </c>
      <c r="AX58" s="12">
        <v>10</v>
      </c>
      <c r="AY58" s="9" t="s">
        <v>441</v>
      </c>
      <c r="AZ58" s="9" t="s">
        <v>92</v>
      </c>
      <c r="BA58" s="9" t="s">
        <v>442</v>
      </c>
      <c r="BB58" s="9" t="s">
        <v>1239</v>
      </c>
      <c r="BC58" s="12">
        <v>35314392</v>
      </c>
      <c r="BD58" s="9" t="s">
        <v>86</v>
      </c>
      <c r="BE58" s="9" t="s">
        <v>86</v>
      </c>
      <c r="BF58" s="9" t="s">
        <v>86</v>
      </c>
      <c r="BG58" s="9" t="s">
        <v>95</v>
      </c>
      <c r="BH58" s="9" t="s">
        <v>1240</v>
      </c>
      <c r="BI58" s="9" t="str">
        <f>HYPERLINK("https%3A%2F%2Fwww.webofscience.com%2Fwos%2Fwoscc%2Ffull-record%2FWOS:000793366700007","View Full Record in Web of Science")</f>
        <v>View Full Record in Web of Science</v>
      </c>
    </row>
    <row r="59" spans="1:61" customFormat="1" ht="12.75" x14ac:dyDescent="0.2">
      <c r="A59" s="1">
        <v>55</v>
      </c>
      <c r="B59" s="1" t="s">
        <v>1068</v>
      </c>
      <c r="C59" s="1" t="s">
        <v>1241</v>
      </c>
      <c r="D59" s="2" t="s">
        <v>1242</v>
      </c>
      <c r="E59" s="2" t="s">
        <v>1243</v>
      </c>
      <c r="F59" s="3" t="str">
        <f>HYPERLINK("http://dx.doi.org/10.1007/s11783-023-1699-8","http://dx.doi.org/10.1007/s11783-023-1699-8")</f>
        <v>http://dx.doi.org/10.1007/s11783-023-1699-8</v>
      </c>
      <c r="G59" s="2" t="s">
        <v>200</v>
      </c>
      <c r="H59" s="2" t="s">
        <v>399</v>
      </c>
      <c r="I59" s="2" t="s">
        <v>400</v>
      </c>
      <c r="J59" s="2" t="s">
        <v>1244</v>
      </c>
      <c r="K59" s="2" t="s">
        <v>68</v>
      </c>
      <c r="L59" s="2" t="s">
        <v>1245</v>
      </c>
      <c r="M59" s="2" t="s">
        <v>1246</v>
      </c>
      <c r="N59" s="2" t="s">
        <v>1247</v>
      </c>
      <c r="O59" s="2" t="s">
        <v>405</v>
      </c>
      <c r="P59" s="2" t="s">
        <v>1248</v>
      </c>
      <c r="Q59" s="2" t="s">
        <v>407</v>
      </c>
      <c r="R59" s="2" t="s">
        <v>408</v>
      </c>
      <c r="S59" s="2" t="s">
        <v>86</v>
      </c>
      <c r="T59" s="2" t="s">
        <v>1249</v>
      </c>
      <c r="U59" s="2" t="s">
        <v>1250</v>
      </c>
      <c r="V59" s="2" t="s">
        <v>1251</v>
      </c>
      <c r="W59" s="2" t="s">
        <v>80</v>
      </c>
      <c r="X59" s="4">
        <v>70</v>
      </c>
      <c r="Y59" s="4">
        <v>0</v>
      </c>
      <c r="Z59" s="4">
        <v>0</v>
      </c>
      <c r="AA59" s="4">
        <v>27</v>
      </c>
      <c r="AB59" s="4">
        <v>27</v>
      </c>
      <c r="AC59" s="2" t="s">
        <v>1252</v>
      </c>
      <c r="AD59" s="2" t="s">
        <v>1253</v>
      </c>
      <c r="AE59" s="2" t="s">
        <v>1254</v>
      </c>
      <c r="AF59" s="2" t="s">
        <v>1255</v>
      </c>
      <c r="AG59" s="2" t="s">
        <v>1256</v>
      </c>
      <c r="AH59" s="2" t="s">
        <v>86</v>
      </c>
      <c r="AI59" s="2" t="s">
        <v>1257</v>
      </c>
      <c r="AJ59" s="2" t="s">
        <v>1258</v>
      </c>
      <c r="AK59" s="2" t="s">
        <v>636</v>
      </c>
      <c r="AL59" s="4">
        <v>2023</v>
      </c>
      <c r="AM59" s="4">
        <v>17</v>
      </c>
      <c r="AN59" s="4">
        <v>8</v>
      </c>
      <c r="AO59" s="2" t="s">
        <v>86</v>
      </c>
      <c r="AP59" s="2" t="s">
        <v>86</v>
      </c>
      <c r="AQ59" s="2" t="s">
        <v>86</v>
      </c>
      <c r="AR59" s="2" t="s">
        <v>86</v>
      </c>
      <c r="AS59" s="2" t="s">
        <v>86</v>
      </c>
      <c r="AT59" s="2" t="s">
        <v>86</v>
      </c>
      <c r="AU59" s="4">
        <v>99</v>
      </c>
      <c r="AV59" s="2" t="s">
        <v>86</v>
      </c>
      <c r="AW59" s="2" t="s">
        <v>86</v>
      </c>
      <c r="AX59" s="4">
        <v>11</v>
      </c>
      <c r="AY59" s="2" t="s">
        <v>567</v>
      </c>
      <c r="AZ59" s="2" t="s">
        <v>92</v>
      </c>
      <c r="BA59" s="2" t="s">
        <v>568</v>
      </c>
      <c r="BB59" s="2" t="s">
        <v>1259</v>
      </c>
      <c r="BC59" s="2" t="s">
        <v>86</v>
      </c>
      <c r="BD59" s="2" t="s">
        <v>86</v>
      </c>
      <c r="BE59" s="2" t="s">
        <v>86</v>
      </c>
      <c r="BF59" s="2" t="s">
        <v>86</v>
      </c>
      <c r="BG59" s="2" t="s">
        <v>95</v>
      </c>
      <c r="BH59" s="2" t="s">
        <v>1260</v>
      </c>
      <c r="BI59" s="2" t="str">
        <f>HYPERLINK("https%3A%2F%2Fwww.webofscience.com%2Fwos%2Fwoscc%2Ffull-record%2FWOS:000948911400002","View Full Record in Web of Science")</f>
        <v>View Full Record in Web of Science</v>
      </c>
    </row>
    <row r="60" spans="1:61" customFormat="1" ht="12.75" x14ac:dyDescent="0.2">
      <c r="A60" s="1">
        <v>56</v>
      </c>
      <c r="B60" s="1" t="s">
        <v>1068</v>
      </c>
      <c r="C60" s="1" t="s">
        <v>1261</v>
      </c>
      <c r="D60" s="2" t="s">
        <v>1262</v>
      </c>
      <c r="E60" s="2" t="s">
        <v>86</v>
      </c>
      <c r="F60" s="2" t="s">
        <v>86</v>
      </c>
      <c r="G60" s="2" t="s">
        <v>176</v>
      </c>
      <c r="H60" s="2" t="s">
        <v>1263</v>
      </c>
      <c r="I60" s="2" t="s">
        <v>1264</v>
      </c>
      <c r="J60" s="2" t="s">
        <v>179</v>
      </c>
      <c r="K60" s="2" t="s">
        <v>68</v>
      </c>
      <c r="L60" s="2" t="s">
        <v>1265</v>
      </c>
      <c r="M60" s="2" t="s">
        <v>86</v>
      </c>
      <c r="N60" s="2" t="s">
        <v>1266</v>
      </c>
      <c r="O60" s="2" t="s">
        <v>1267</v>
      </c>
      <c r="P60" s="2" t="s">
        <v>1268</v>
      </c>
      <c r="Q60" s="2" t="s">
        <v>1269</v>
      </c>
      <c r="R60" s="2" t="s">
        <v>86</v>
      </c>
      <c r="S60" s="2" t="s">
        <v>86</v>
      </c>
      <c r="T60" s="2" t="s">
        <v>1270</v>
      </c>
      <c r="U60" s="2" t="s">
        <v>1270</v>
      </c>
      <c r="V60" s="2" t="s">
        <v>1271</v>
      </c>
      <c r="W60" s="2" t="s">
        <v>188</v>
      </c>
      <c r="X60" s="4">
        <v>7</v>
      </c>
      <c r="Y60" s="4">
        <v>0</v>
      </c>
      <c r="Z60" s="4">
        <v>0</v>
      </c>
      <c r="AA60" s="4">
        <v>1</v>
      </c>
      <c r="AB60" s="4">
        <v>5</v>
      </c>
      <c r="AC60" s="2" t="s">
        <v>189</v>
      </c>
      <c r="AD60" s="2" t="s">
        <v>165</v>
      </c>
      <c r="AE60" s="2" t="s">
        <v>190</v>
      </c>
      <c r="AF60" s="2" t="s">
        <v>86</v>
      </c>
      <c r="AG60" s="2" t="s">
        <v>86</v>
      </c>
      <c r="AH60" s="2" t="s">
        <v>191</v>
      </c>
      <c r="AI60" s="2" t="s">
        <v>192</v>
      </c>
      <c r="AJ60" s="2" t="s">
        <v>86</v>
      </c>
      <c r="AK60" s="2" t="s">
        <v>86</v>
      </c>
      <c r="AL60" s="4">
        <v>2020</v>
      </c>
      <c r="AM60" s="4">
        <v>56</v>
      </c>
      <c r="AN60" s="2" t="s">
        <v>86</v>
      </c>
      <c r="AO60" s="2" t="s">
        <v>86</v>
      </c>
      <c r="AP60" s="2" t="s">
        <v>86</v>
      </c>
      <c r="AQ60" s="2" t="s">
        <v>86</v>
      </c>
      <c r="AR60" s="2" t="s">
        <v>86</v>
      </c>
      <c r="AS60" s="4">
        <v>94</v>
      </c>
      <c r="AT60" s="4">
        <v>101</v>
      </c>
      <c r="AU60" s="2" t="s">
        <v>86</v>
      </c>
      <c r="AV60" s="2" t="s">
        <v>86</v>
      </c>
      <c r="AW60" s="2" t="s">
        <v>86</v>
      </c>
      <c r="AX60" s="4">
        <v>8</v>
      </c>
      <c r="AY60" s="2" t="s">
        <v>193</v>
      </c>
      <c r="AZ60" s="2" t="s">
        <v>194</v>
      </c>
      <c r="BA60" s="2" t="s">
        <v>93</v>
      </c>
      <c r="BB60" s="2" t="s">
        <v>195</v>
      </c>
      <c r="BC60" s="2" t="s">
        <v>86</v>
      </c>
      <c r="BD60" s="2" t="s">
        <v>86</v>
      </c>
      <c r="BE60" s="2" t="s">
        <v>86</v>
      </c>
      <c r="BF60" s="2" t="s">
        <v>86</v>
      </c>
      <c r="BG60" s="2" t="s">
        <v>95</v>
      </c>
      <c r="BH60" s="2" t="s">
        <v>1272</v>
      </c>
      <c r="BI60" s="2" t="str">
        <f>HYPERLINK("https%3A%2F%2Fwww.webofscience.com%2Fwos%2Fwoscc%2Ffull-record%2FWOS:000637180200010","View Full Record in Web of Science")</f>
        <v>View Full Record in Web of Science</v>
      </c>
    </row>
    <row r="61" spans="1:61" ht="12.75" x14ac:dyDescent="0.2">
      <c r="A61" s="8">
        <v>57</v>
      </c>
      <c r="B61" s="8" t="s">
        <v>1049</v>
      </c>
      <c r="C61" s="8" t="s">
        <v>1273</v>
      </c>
      <c r="D61" s="9" t="s">
        <v>1274</v>
      </c>
      <c r="E61" s="9" t="s">
        <v>1275</v>
      </c>
      <c r="F61" s="11" t="str">
        <f>HYPERLINK("http://dx.doi.org/10.1016/j.chemosphere.2022.135101","http://dx.doi.org/10.1016/j.chemosphere.2022.135101")</f>
        <v>http://dx.doi.org/10.1016/j.chemosphere.2022.135101</v>
      </c>
      <c r="G61" s="9" t="s">
        <v>200</v>
      </c>
      <c r="H61" s="9" t="s">
        <v>1276</v>
      </c>
      <c r="I61" s="9" t="s">
        <v>1277</v>
      </c>
      <c r="J61" s="9" t="s">
        <v>227</v>
      </c>
      <c r="K61" s="9" t="s">
        <v>68</v>
      </c>
      <c r="L61" s="9" t="s">
        <v>1278</v>
      </c>
      <c r="M61" s="9" t="s">
        <v>1279</v>
      </c>
      <c r="N61" s="9" t="s">
        <v>1280</v>
      </c>
      <c r="O61" s="9" t="s">
        <v>1281</v>
      </c>
      <c r="P61" s="9" t="s">
        <v>1282</v>
      </c>
      <c r="Q61" s="9" t="s">
        <v>1283</v>
      </c>
      <c r="R61" s="9" t="s">
        <v>1284</v>
      </c>
      <c r="S61" s="9" t="s">
        <v>1285</v>
      </c>
      <c r="T61" s="9" t="s">
        <v>1286</v>
      </c>
      <c r="U61" s="9" t="s">
        <v>1287</v>
      </c>
      <c r="V61" s="9" t="s">
        <v>1288</v>
      </c>
      <c r="W61" s="9" t="s">
        <v>80</v>
      </c>
      <c r="X61" s="12">
        <v>71</v>
      </c>
      <c r="Y61" s="12">
        <v>7</v>
      </c>
      <c r="Z61" s="12">
        <v>7</v>
      </c>
      <c r="AA61" s="12">
        <v>10</v>
      </c>
      <c r="AB61" s="12">
        <v>32</v>
      </c>
      <c r="AC61" s="9" t="s">
        <v>237</v>
      </c>
      <c r="AD61" s="9" t="s">
        <v>115</v>
      </c>
      <c r="AE61" s="9" t="s">
        <v>238</v>
      </c>
      <c r="AF61" s="9" t="s">
        <v>239</v>
      </c>
      <c r="AG61" s="9" t="s">
        <v>240</v>
      </c>
      <c r="AH61" s="9" t="s">
        <v>86</v>
      </c>
      <c r="AI61" s="9" t="s">
        <v>227</v>
      </c>
      <c r="AJ61" s="9" t="s">
        <v>241</v>
      </c>
      <c r="AK61" s="9" t="s">
        <v>440</v>
      </c>
      <c r="AL61" s="12">
        <v>2022</v>
      </c>
      <c r="AM61" s="12">
        <v>303</v>
      </c>
      <c r="AN61" s="9" t="s">
        <v>86</v>
      </c>
      <c r="AO61" s="12">
        <v>1</v>
      </c>
      <c r="AP61" s="9" t="s">
        <v>86</v>
      </c>
      <c r="AQ61" s="9" t="s">
        <v>86</v>
      </c>
      <c r="AR61" s="9" t="s">
        <v>86</v>
      </c>
      <c r="AS61" s="9" t="s">
        <v>86</v>
      </c>
      <c r="AT61" s="9" t="s">
        <v>86</v>
      </c>
      <c r="AU61" s="12">
        <v>135101</v>
      </c>
      <c r="AV61" s="9" t="s">
        <v>86</v>
      </c>
      <c r="AW61" s="9" t="s">
        <v>1289</v>
      </c>
      <c r="AX61" s="12">
        <v>9</v>
      </c>
      <c r="AY61" s="9" t="s">
        <v>91</v>
      </c>
      <c r="AZ61" s="9" t="s">
        <v>92</v>
      </c>
      <c r="BA61" s="9" t="s">
        <v>93</v>
      </c>
      <c r="BB61" s="9" t="s">
        <v>1290</v>
      </c>
      <c r="BC61" s="12">
        <v>35659934</v>
      </c>
      <c r="BD61" s="9" t="s">
        <v>86</v>
      </c>
      <c r="BE61" s="9" t="s">
        <v>86</v>
      </c>
      <c r="BF61" s="9" t="s">
        <v>86</v>
      </c>
      <c r="BG61" s="9" t="s">
        <v>95</v>
      </c>
      <c r="BH61" s="9" t="s">
        <v>1291</v>
      </c>
      <c r="BI61" s="9" t="str">
        <f>HYPERLINK("https%3A%2F%2Fwww.webofscience.com%2Fwos%2Fwoscc%2Ffull-record%2FWOS:000833540500001","View Full Record in Web of Science")</f>
        <v>View Full Record in Web of Science</v>
      </c>
    </row>
    <row r="62" spans="1:61" ht="12.75" x14ac:dyDescent="0.2">
      <c r="A62" s="8">
        <v>58</v>
      </c>
      <c r="B62" s="8" t="s">
        <v>1049</v>
      </c>
      <c r="C62" s="8" t="s">
        <v>1292</v>
      </c>
      <c r="D62" s="9" t="s">
        <v>1293</v>
      </c>
      <c r="E62" s="9" t="s">
        <v>1294</v>
      </c>
      <c r="F62" s="11" t="str">
        <f>HYPERLINK("http://dx.doi.org/10.1016/j.scitotenv.2022.153676","http://dx.doi.org/10.1016/j.scitotenv.2022.153676")</f>
        <v>http://dx.doi.org/10.1016/j.scitotenv.2022.153676</v>
      </c>
      <c r="G62" s="9" t="s">
        <v>200</v>
      </c>
      <c r="H62" s="9" t="s">
        <v>1295</v>
      </c>
      <c r="I62" s="9" t="s">
        <v>1296</v>
      </c>
      <c r="J62" s="9" t="s">
        <v>576</v>
      </c>
      <c r="K62" s="9" t="s">
        <v>68</v>
      </c>
      <c r="L62" s="9" t="s">
        <v>1297</v>
      </c>
      <c r="M62" s="9" t="s">
        <v>1298</v>
      </c>
      <c r="N62" s="9" t="s">
        <v>1299</v>
      </c>
      <c r="O62" s="9" t="s">
        <v>1300</v>
      </c>
      <c r="P62" s="9" t="s">
        <v>73</v>
      </c>
      <c r="Q62" s="9" t="s">
        <v>74</v>
      </c>
      <c r="R62" s="9" t="s">
        <v>1301</v>
      </c>
      <c r="S62" s="9" t="s">
        <v>1302</v>
      </c>
      <c r="T62" s="9" t="s">
        <v>1303</v>
      </c>
      <c r="U62" s="9" t="s">
        <v>1304</v>
      </c>
      <c r="V62" s="9" t="s">
        <v>1305</v>
      </c>
      <c r="W62" s="9" t="s">
        <v>80</v>
      </c>
      <c r="X62" s="12">
        <v>89</v>
      </c>
      <c r="Y62" s="12">
        <v>7</v>
      </c>
      <c r="Z62" s="12">
        <v>7</v>
      </c>
      <c r="AA62" s="12">
        <v>11</v>
      </c>
      <c r="AB62" s="12">
        <v>70</v>
      </c>
      <c r="AC62" s="9" t="s">
        <v>585</v>
      </c>
      <c r="AD62" s="9" t="s">
        <v>586</v>
      </c>
      <c r="AE62" s="9" t="s">
        <v>587</v>
      </c>
      <c r="AF62" s="9" t="s">
        <v>588</v>
      </c>
      <c r="AG62" s="9" t="s">
        <v>589</v>
      </c>
      <c r="AH62" s="9" t="s">
        <v>86</v>
      </c>
      <c r="AI62" s="9" t="s">
        <v>590</v>
      </c>
      <c r="AJ62" s="9" t="s">
        <v>591</v>
      </c>
      <c r="AK62" s="9" t="s">
        <v>1306</v>
      </c>
      <c r="AL62" s="12">
        <v>2022</v>
      </c>
      <c r="AM62" s="12">
        <v>823</v>
      </c>
      <c r="AN62" s="9" t="s">
        <v>86</v>
      </c>
      <c r="AO62" s="9" t="s">
        <v>86</v>
      </c>
      <c r="AP62" s="9" t="s">
        <v>86</v>
      </c>
      <c r="AQ62" s="9" t="s">
        <v>86</v>
      </c>
      <c r="AR62" s="9" t="s">
        <v>86</v>
      </c>
      <c r="AS62" s="9" t="s">
        <v>86</v>
      </c>
      <c r="AT62" s="9" t="s">
        <v>86</v>
      </c>
      <c r="AU62" s="12">
        <v>153676</v>
      </c>
      <c r="AV62" s="9" t="s">
        <v>86</v>
      </c>
      <c r="AW62" s="9" t="s">
        <v>86</v>
      </c>
      <c r="AX62" s="12">
        <v>16</v>
      </c>
      <c r="AY62" s="9" t="s">
        <v>91</v>
      </c>
      <c r="AZ62" s="9" t="s">
        <v>92</v>
      </c>
      <c r="BA62" s="9" t="s">
        <v>93</v>
      </c>
      <c r="BB62" s="9" t="s">
        <v>1307</v>
      </c>
      <c r="BC62" s="12">
        <v>35122859</v>
      </c>
      <c r="BD62" s="9" t="s">
        <v>86</v>
      </c>
      <c r="BE62" s="9" t="s">
        <v>86</v>
      </c>
      <c r="BF62" s="9" t="s">
        <v>86</v>
      </c>
      <c r="BG62" s="9" t="s">
        <v>95</v>
      </c>
      <c r="BH62" s="9" t="s">
        <v>1308</v>
      </c>
      <c r="BI62" s="9" t="str">
        <f>HYPERLINK("https%3A%2F%2Fwww.webofscience.com%2Fwos%2Fwoscc%2Ffull-record%2FWOS:000766808500002","View Full Record in Web of Science")</f>
        <v>View Full Record in Web of Science</v>
      </c>
    </row>
    <row r="63" spans="1:61" customFormat="1" ht="12.75" x14ac:dyDescent="0.2">
      <c r="A63" s="1">
        <v>59</v>
      </c>
      <c r="B63" s="1" t="s">
        <v>1068</v>
      </c>
      <c r="C63" s="1" t="s">
        <v>1309</v>
      </c>
      <c r="D63" s="2" t="s">
        <v>1310</v>
      </c>
      <c r="E63" s="2" t="s">
        <v>1311</v>
      </c>
      <c r="F63" s="3" t="str">
        <f>HYPERLINK("http://dx.doi.org/10.1007/s11356-021-14099-8","http://dx.doi.org/10.1007/s11356-021-14099-8")</f>
        <v>http://dx.doi.org/10.1007/s11356-021-14099-8</v>
      </c>
      <c r="G63" s="2" t="s">
        <v>200</v>
      </c>
      <c r="H63" s="2" t="s">
        <v>1312</v>
      </c>
      <c r="I63" s="2" t="s">
        <v>1313</v>
      </c>
      <c r="J63" s="2" t="s">
        <v>67</v>
      </c>
      <c r="K63" s="2" t="s">
        <v>68</v>
      </c>
      <c r="L63" s="2" t="s">
        <v>1314</v>
      </c>
      <c r="M63" s="2" t="s">
        <v>1315</v>
      </c>
      <c r="N63" s="2" t="s">
        <v>1316</v>
      </c>
      <c r="O63" s="2" t="s">
        <v>1317</v>
      </c>
      <c r="P63" s="2" t="s">
        <v>1318</v>
      </c>
      <c r="Q63" s="2" t="s">
        <v>1319</v>
      </c>
      <c r="R63" s="2" t="s">
        <v>1320</v>
      </c>
      <c r="S63" s="2" t="s">
        <v>1321</v>
      </c>
      <c r="T63" s="2" t="s">
        <v>86</v>
      </c>
      <c r="U63" s="2" t="s">
        <v>86</v>
      </c>
      <c r="V63" s="2" t="s">
        <v>86</v>
      </c>
      <c r="W63" s="2" t="s">
        <v>80</v>
      </c>
      <c r="X63" s="4">
        <v>53</v>
      </c>
      <c r="Y63" s="4">
        <v>31</v>
      </c>
      <c r="Z63" s="4">
        <v>31</v>
      </c>
      <c r="AA63" s="4">
        <v>14</v>
      </c>
      <c r="AB63" s="4">
        <v>72</v>
      </c>
      <c r="AC63" s="2" t="s">
        <v>81</v>
      </c>
      <c r="AD63" s="2" t="s">
        <v>82</v>
      </c>
      <c r="AE63" s="2" t="s">
        <v>83</v>
      </c>
      <c r="AF63" s="2" t="s">
        <v>84</v>
      </c>
      <c r="AG63" s="2" t="s">
        <v>85</v>
      </c>
      <c r="AH63" s="2" t="s">
        <v>86</v>
      </c>
      <c r="AI63" s="2" t="s">
        <v>87</v>
      </c>
      <c r="AJ63" s="2" t="s">
        <v>88</v>
      </c>
      <c r="AK63" s="2" t="s">
        <v>440</v>
      </c>
      <c r="AL63" s="4">
        <v>2021</v>
      </c>
      <c r="AM63" s="4">
        <v>28</v>
      </c>
      <c r="AN63" s="4">
        <v>34</v>
      </c>
      <c r="AO63" s="2" t="s">
        <v>86</v>
      </c>
      <c r="AP63" s="2" t="s">
        <v>86</v>
      </c>
      <c r="AQ63" s="2" t="s">
        <v>86</v>
      </c>
      <c r="AR63" s="2" t="s">
        <v>86</v>
      </c>
      <c r="AS63" s="4">
        <v>47517</v>
      </c>
      <c r="AT63" s="4">
        <v>47527</v>
      </c>
      <c r="AU63" s="2" t="s">
        <v>86</v>
      </c>
      <c r="AV63" s="2" t="s">
        <v>86</v>
      </c>
      <c r="AW63" s="2" t="s">
        <v>1322</v>
      </c>
      <c r="AX63" s="4">
        <v>11</v>
      </c>
      <c r="AY63" s="2" t="s">
        <v>91</v>
      </c>
      <c r="AZ63" s="2" t="s">
        <v>92</v>
      </c>
      <c r="BA63" s="2" t="s">
        <v>93</v>
      </c>
      <c r="BB63" s="2" t="s">
        <v>1323</v>
      </c>
      <c r="BC63" s="4">
        <v>33895953</v>
      </c>
      <c r="BD63" s="2" t="s">
        <v>1324</v>
      </c>
      <c r="BE63" s="2" t="s">
        <v>86</v>
      </c>
      <c r="BF63" s="2" t="s">
        <v>86</v>
      </c>
      <c r="BG63" s="2" t="s">
        <v>95</v>
      </c>
      <c r="BH63" s="2" t="s">
        <v>1325</v>
      </c>
      <c r="BI63" s="2" t="str">
        <f>HYPERLINK("https%3A%2F%2Fwww.webofscience.com%2Fwos%2Fwoscc%2Ffull-record%2FWOS:000643190500003","View Full Record in Web of Science")</f>
        <v>View Full Record in Web of Science</v>
      </c>
    </row>
    <row r="64" spans="1:61" customFormat="1" ht="12.75" x14ac:dyDescent="0.2">
      <c r="A64" s="1">
        <v>60</v>
      </c>
      <c r="B64" s="1" t="s">
        <v>1068</v>
      </c>
      <c r="C64" s="1" t="s">
        <v>1326</v>
      </c>
      <c r="D64" s="2" t="s">
        <v>1327</v>
      </c>
      <c r="E64" s="2" t="s">
        <v>1328</v>
      </c>
      <c r="F64" s="3" t="str">
        <f>HYPERLINK("http://dx.doi.org/10.1016/j.marpolbul.2019.110747","http://dx.doi.org/10.1016/j.marpolbul.2019.110747")</f>
        <v>http://dx.doi.org/10.1016/j.marpolbul.2019.110747</v>
      </c>
      <c r="G64" s="2" t="s">
        <v>200</v>
      </c>
      <c r="H64" s="2" t="s">
        <v>1329</v>
      </c>
      <c r="I64" s="2" t="s">
        <v>1330</v>
      </c>
      <c r="J64" s="2" t="s">
        <v>424</v>
      </c>
      <c r="K64" s="2" t="s">
        <v>68</v>
      </c>
      <c r="L64" s="2" t="s">
        <v>1331</v>
      </c>
      <c r="M64" s="2" t="s">
        <v>1332</v>
      </c>
      <c r="N64" s="2" t="s">
        <v>1333</v>
      </c>
      <c r="O64" s="2" t="s">
        <v>1334</v>
      </c>
      <c r="P64" s="2" t="s">
        <v>1335</v>
      </c>
      <c r="Q64" s="2" t="s">
        <v>1336</v>
      </c>
      <c r="R64" s="2" t="s">
        <v>1337</v>
      </c>
      <c r="S64" s="2" t="s">
        <v>1338</v>
      </c>
      <c r="T64" s="2" t="s">
        <v>1339</v>
      </c>
      <c r="U64" s="2" t="s">
        <v>434</v>
      </c>
      <c r="V64" s="2" t="s">
        <v>1340</v>
      </c>
      <c r="W64" s="2" t="s">
        <v>80</v>
      </c>
      <c r="X64" s="4">
        <v>57</v>
      </c>
      <c r="Y64" s="4">
        <v>17</v>
      </c>
      <c r="Z64" s="4">
        <v>17</v>
      </c>
      <c r="AA64" s="4">
        <v>5</v>
      </c>
      <c r="AB64" s="4">
        <v>74</v>
      </c>
      <c r="AC64" s="2" t="s">
        <v>237</v>
      </c>
      <c r="AD64" s="2" t="s">
        <v>115</v>
      </c>
      <c r="AE64" s="2" t="s">
        <v>238</v>
      </c>
      <c r="AF64" s="2" t="s">
        <v>436</v>
      </c>
      <c r="AG64" s="2" t="s">
        <v>437</v>
      </c>
      <c r="AH64" s="2" t="s">
        <v>86</v>
      </c>
      <c r="AI64" s="2" t="s">
        <v>438</v>
      </c>
      <c r="AJ64" s="2" t="s">
        <v>439</v>
      </c>
      <c r="AK64" s="2" t="s">
        <v>534</v>
      </c>
      <c r="AL64" s="4">
        <v>2020</v>
      </c>
      <c r="AM64" s="4">
        <v>150</v>
      </c>
      <c r="AN64" s="2" t="s">
        <v>86</v>
      </c>
      <c r="AO64" s="2" t="s">
        <v>86</v>
      </c>
      <c r="AP64" s="2" t="s">
        <v>86</v>
      </c>
      <c r="AQ64" s="2" t="s">
        <v>86</v>
      </c>
      <c r="AR64" s="2" t="s">
        <v>86</v>
      </c>
      <c r="AS64" s="2" t="s">
        <v>86</v>
      </c>
      <c r="AT64" s="2" t="s">
        <v>86</v>
      </c>
      <c r="AU64" s="4">
        <v>110747</v>
      </c>
      <c r="AV64" s="2" t="s">
        <v>86</v>
      </c>
      <c r="AW64" s="2" t="s">
        <v>86</v>
      </c>
      <c r="AX64" s="4">
        <v>17</v>
      </c>
      <c r="AY64" s="2" t="s">
        <v>441</v>
      </c>
      <c r="AZ64" s="2" t="s">
        <v>92</v>
      </c>
      <c r="BA64" s="2" t="s">
        <v>442</v>
      </c>
      <c r="BB64" s="2" t="s">
        <v>1341</v>
      </c>
      <c r="BC64" s="4">
        <v>31784264</v>
      </c>
      <c r="BD64" s="2" t="s">
        <v>86</v>
      </c>
      <c r="BE64" s="2" t="s">
        <v>86</v>
      </c>
      <c r="BF64" s="2" t="s">
        <v>86</v>
      </c>
      <c r="BG64" s="2" t="s">
        <v>95</v>
      </c>
      <c r="BH64" s="2" t="s">
        <v>1342</v>
      </c>
      <c r="BI64" s="2" t="str">
        <f>HYPERLINK("https%3A%2F%2Fwww.webofscience.com%2Fwos%2Fwoscc%2Ffull-record%2FWOS:000509611200095","View Full Record in Web of Science")</f>
        <v>View Full Record in Web of Science</v>
      </c>
    </row>
    <row r="65" spans="1:61" ht="12.75" x14ac:dyDescent="0.2">
      <c r="A65" s="8">
        <v>61</v>
      </c>
      <c r="B65" s="8" t="s">
        <v>1049</v>
      </c>
      <c r="C65" s="8" t="s">
        <v>1343</v>
      </c>
      <c r="D65" s="9" t="s">
        <v>1344</v>
      </c>
      <c r="E65" s="9" t="s">
        <v>1345</v>
      </c>
      <c r="F65" s="11" t="str">
        <f>HYPERLINK("http://dx.doi.org/10.1007/s00128-020-02993-9","http://dx.doi.org/10.1007/s00128-020-02993-9")</f>
        <v>http://dx.doi.org/10.1007/s00128-020-02993-9</v>
      </c>
      <c r="G65" s="9" t="s">
        <v>200</v>
      </c>
      <c r="H65" s="9" t="s">
        <v>1346</v>
      </c>
      <c r="I65" s="9" t="s">
        <v>1347</v>
      </c>
      <c r="J65" s="9" t="s">
        <v>1348</v>
      </c>
      <c r="K65" s="9" t="s">
        <v>68</v>
      </c>
      <c r="L65" s="9" t="s">
        <v>1349</v>
      </c>
      <c r="M65" s="9" t="s">
        <v>1350</v>
      </c>
      <c r="N65" s="9" t="s">
        <v>1351</v>
      </c>
      <c r="O65" s="9" t="s">
        <v>1352</v>
      </c>
      <c r="P65" s="9" t="s">
        <v>1353</v>
      </c>
      <c r="Q65" s="9" t="s">
        <v>561</v>
      </c>
      <c r="R65" s="9" t="s">
        <v>86</v>
      </c>
      <c r="S65" s="9" t="s">
        <v>1354</v>
      </c>
      <c r="T65" s="9" t="s">
        <v>86</v>
      </c>
      <c r="U65" s="9" t="s">
        <v>86</v>
      </c>
      <c r="V65" s="9" t="s">
        <v>86</v>
      </c>
      <c r="W65" s="9" t="s">
        <v>80</v>
      </c>
      <c r="X65" s="12">
        <v>34</v>
      </c>
      <c r="Y65" s="12">
        <v>8</v>
      </c>
      <c r="Z65" s="12">
        <v>8</v>
      </c>
      <c r="AA65" s="12">
        <v>6</v>
      </c>
      <c r="AB65" s="12">
        <v>38</v>
      </c>
      <c r="AC65" s="9" t="s">
        <v>139</v>
      </c>
      <c r="AD65" s="9" t="s">
        <v>1355</v>
      </c>
      <c r="AE65" s="9" t="s">
        <v>1356</v>
      </c>
      <c r="AF65" s="9" t="s">
        <v>1357</v>
      </c>
      <c r="AG65" s="9" t="s">
        <v>1358</v>
      </c>
      <c r="AH65" s="9" t="s">
        <v>86</v>
      </c>
      <c r="AI65" s="9" t="s">
        <v>1359</v>
      </c>
      <c r="AJ65" s="9" t="s">
        <v>1360</v>
      </c>
      <c r="AK65" s="9" t="s">
        <v>873</v>
      </c>
      <c r="AL65" s="12">
        <v>2020</v>
      </c>
      <c r="AM65" s="12">
        <v>105</v>
      </c>
      <c r="AN65" s="12">
        <v>4</v>
      </c>
      <c r="AO65" s="9" t="s">
        <v>86</v>
      </c>
      <c r="AP65" s="9" t="s">
        <v>86</v>
      </c>
      <c r="AQ65" s="9" t="s">
        <v>86</v>
      </c>
      <c r="AR65" s="9" t="s">
        <v>86</v>
      </c>
      <c r="AS65" s="12">
        <v>522</v>
      </c>
      <c r="AT65" s="12">
        <v>529</v>
      </c>
      <c r="AU65" s="9" t="s">
        <v>86</v>
      </c>
      <c r="AV65" s="9" t="s">
        <v>86</v>
      </c>
      <c r="AW65" s="9" t="s">
        <v>147</v>
      </c>
      <c r="AX65" s="12">
        <v>8</v>
      </c>
      <c r="AY65" s="9" t="s">
        <v>1361</v>
      </c>
      <c r="AZ65" s="9" t="s">
        <v>92</v>
      </c>
      <c r="BA65" s="9" t="s">
        <v>1362</v>
      </c>
      <c r="BB65" s="9" t="s">
        <v>1363</v>
      </c>
      <c r="BC65" s="12">
        <v>32955596</v>
      </c>
      <c r="BD65" s="9" t="s">
        <v>86</v>
      </c>
      <c r="BE65" s="9" t="s">
        <v>86</v>
      </c>
      <c r="BF65" s="9" t="s">
        <v>86</v>
      </c>
      <c r="BG65" s="9" t="s">
        <v>95</v>
      </c>
      <c r="BH65" s="9" t="s">
        <v>1364</v>
      </c>
      <c r="BI65" s="9" t="str">
        <f>HYPERLINK("https%3A%2F%2Fwww.webofscience.com%2Fwos%2Fwoscc%2Ffull-record%2FWOS:000571669900001","View Full Record in Web of Science")</f>
        <v>View Full Record in Web of Science</v>
      </c>
    </row>
    <row r="66" spans="1:61" ht="12.75" x14ac:dyDescent="0.2">
      <c r="A66" s="8">
        <v>62</v>
      </c>
      <c r="B66" s="8" t="s">
        <v>1049</v>
      </c>
      <c r="C66" s="8" t="s">
        <v>1365</v>
      </c>
      <c r="D66" s="9" t="s">
        <v>1366</v>
      </c>
      <c r="E66" s="9" t="s">
        <v>1367</v>
      </c>
      <c r="F66" s="11" t="str">
        <f>HYPERLINK("http://dx.doi.org/10.1080/1354750X.2021.2020335","http://dx.doi.org/10.1080/1354750X.2021.2020335")</f>
        <v>http://dx.doi.org/10.1080/1354750X.2021.2020335</v>
      </c>
      <c r="G66" s="9" t="s">
        <v>200</v>
      </c>
      <c r="H66" s="9" t="s">
        <v>1368</v>
      </c>
      <c r="I66" s="9" t="s">
        <v>1369</v>
      </c>
      <c r="J66" s="9" t="s">
        <v>1370</v>
      </c>
      <c r="K66" s="9" t="s">
        <v>68</v>
      </c>
      <c r="L66" s="9" t="s">
        <v>1371</v>
      </c>
      <c r="M66" s="9" t="s">
        <v>1372</v>
      </c>
      <c r="N66" s="9" t="s">
        <v>1373</v>
      </c>
      <c r="O66" s="9" t="s">
        <v>1150</v>
      </c>
      <c r="P66" s="9" t="s">
        <v>1374</v>
      </c>
      <c r="Q66" s="9" t="s">
        <v>1152</v>
      </c>
      <c r="R66" s="9" t="s">
        <v>86</v>
      </c>
      <c r="S66" s="9" t="s">
        <v>1375</v>
      </c>
      <c r="T66" s="9" t="s">
        <v>86</v>
      </c>
      <c r="U66" s="9" t="s">
        <v>86</v>
      </c>
      <c r="V66" s="9" t="s">
        <v>86</v>
      </c>
      <c r="W66" s="9" t="s">
        <v>80</v>
      </c>
      <c r="X66" s="12">
        <v>72</v>
      </c>
      <c r="Y66" s="12">
        <v>2</v>
      </c>
      <c r="Z66" s="12">
        <v>2</v>
      </c>
      <c r="AA66" s="12">
        <v>7</v>
      </c>
      <c r="AB66" s="12">
        <v>46</v>
      </c>
      <c r="AC66" s="9" t="s">
        <v>286</v>
      </c>
      <c r="AD66" s="9" t="s">
        <v>287</v>
      </c>
      <c r="AE66" s="9" t="s">
        <v>288</v>
      </c>
      <c r="AF66" s="9" t="s">
        <v>1376</v>
      </c>
      <c r="AG66" s="9" t="s">
        <v>1377</v>
      </c>
      <c r="AH66" s="9" t="s">
        <v>86</v>
      </c>
      <c r="AI66" s="9" t="s">
        <v>1370</v>
      </c>
      <c r="AJ66" s="9" t="s">
        <v>1378</v>
      </c>
      <c r="AK66" s="9" t="s">
        <v>1379</v>
      </c>
      <c r="AL66" s="12">
        <v>2022</v>
      </c>
      <c r="AM66" s="12">
        <v>27</v>
      </c>
      <c r="AN66" s="12">
        <v>2</v>
      </c>
      <c r="AO66" s="9" t="s">
        <v>86</v>
      </c>
      <c r="AP66" s="9" t="s">
        <v>86</v>
      </c>
      <c r="AQ66" s="9" t="s">
        <v>86</v>
      </c>
      <c r="AR66" s="9" t="s">
        <v>86</v>
      </c>
      <c r="AS66" s="12">
        <v>118</v>
      </c>
      <c r="AT66" s="12">
        <v>126</v>
      </c>
      <c r="AU66" s="9" t="s">
        <v>86</v>
      </c>
      <c r="AV66" s="9" t="s">
        <v>86</v>
      </c>
      <c r="AW66" s="9" t="s">
        <v>90</v>
      </c>
      <c r="AX66" s="12">
        <v>9</v>
      </c>
      <c r="AY66" s="9" t="s">
        <v>1380</v>
      </c>
      <c r="AZ66" s="9" t="s">
        <v>92</v>
      </c>
      <c r="BA66" s="9" t="s">
        <v>1380</v>
      </c>
      <c r="BB66" s="9" t="s">
        <v>1381</v>
      </c>
      <c r="BC66" s="12">
        <v>34918612</v>
      </c>
      <c r="BD66" s="9" t="s">
        <v>86</v>
      </c>
      <c r="BE66" s="9" t="s">
        <v>86</v>
      </c>
      <c r="BF66" s="9" t="s">
        <v>86</v>
      </c>
      <c r="BG66" s="9" t="s">
        <v>95</v>
      </c>
      <c r="BH66" s="9" t="s">
        <v>1382</v>
      </c>
      <c r="BI66" s="9" t="str">
        <f>HYPERLINK("https%3A%2F%2Fwww.webofscience.com%2Fwos%2Fwoscc%2Ffull-record%2FWOS:000734786800001","View Full Record in Web of Science")</f>
        <v>View Full Record in Web of Science</v>
      </c>
    </row>
    <row r="67" spans="1:61" ht="12.75" x14ac:dyDescent="0.2">
      <c r="A67" s="8">
        <v>63</v>
      </c>
      <c r="B67" s="8" t="s">
        <v>1049</v>
      </c>
      <c r="C67" s="8" t="s">
        <v>1383</v>
      </c>
      <c r="D67" s="9" t="s">
        <v>1384</v>
      </c>
      <c r="E67" s="9" t="s">
        <v>1385</v>
      </c>
      <c r="F67" s="11" t="str">
        <f>HYPERLINK("http://dx.doi.org/10.4194/TRJFAS23747","http://dx.doi.org/10.4194/TRJFAS23747")</f>
        <v>http://dx.doi.org/10.4194/TRJFAS23747</v>
      </c>
      <c r="G67" s="9" t="s">
        <v>200</v>
      </c>
      <c r="H67" s="9" t="s">
        <v>1386</v>
      </c>
      <c r="I67" s="9" t="s">
        <v>1387</v>
      </c>
      <c r="J67" s="9" t="s">
        <v>620</v>
      </c>
      <c r="K67" s="9" t="s">
        <v>68</v>
      </c>
      <c r="L67" s="9" t="s">
        <v>1388</v>
      </c>
      <c r="M67" s="9" t="s">
        <v>1389</v>
      </c>
      <c r="N67" s="9" t="s">
        <v>1390</v>
      </c>
      <c r="O67" s="9" t="s">
        <v>1391</v>
      </c>
      <c r="P67" s="9" t="s">
        <v>1392</v>
      </c>
      <c r="Q67" s="9" t="s">
        <v>1393</v>
      </c>
      <c r="R67" s="9" t="s">
        <v>86</v>
      </c>
      <c r="S67" s="9" t="s">
        <v>86</v>
      </c>
      <c r="T67" s="9" t="s">
        <v>86</v>
      </c>
      <c r="U67" s="9" t="s">
        <v>86</v>
      </c>
      <c r="V67" s="9" t="s">
        <v>86</v>
      </c>
      <c r="W67" s="9" t="s">
        <v>80</v>
      </c>
      <c r="X67" s="12">
        <v>86</v>
      </c>
      <c r="Y67" s="12">
        <v>0</v>
      </c>
      <c r="Z67" s="12">
        <v>0</v>
      </c>
      <c r="AA67" s="12">
        <v>1</v>
      </c>
      <c r="AB67" s="12">
        <v>1</v>
      </c>
      <c r="AC67" s="9" t="s">
        <v>629</v>
      </c>
      <c r="AD67" s="9" t="s">
        <v>630</v>
      </c>
      <c r="AE67" s="9" t="s">
        <v>631</v>
      </c>
      <c r="AF67" s="9" t="s">
        <v>632</v>
      </c>
      <c r="AG67" s="9" t="s">
        <v>633</v>
      </c>
      <c r="AH67" s="9" t="s">
        <v>86</v>
      </c>
      <c r="AI67" s="9" t="s">
        <v>634</v>
      </c>
      <c r="AJ67" s="9" t="s">
        <v>635</v>
      </c>
      <c r="AK67" s="9" t="s">
        <v>217</v>
      </c>
      <c r="AL67" s="12">
        <v>2023</v>
      </c>
      <c r="AM67" s="12">
        <v>23</v>
      </c>
      <c r="AN67" s="12">
        <v>12</v>
      </c>
      <c r="AO67" s="9" t="s">
        <v>86</v>
      </c>
      <c r="AP67" s="9" t="s">
        <v>86</v>
      </c>
      <c r="AQ67" s="9" t="s">
        <v>86</v>
      </c>
      <c r="AR67" s="9" t="s">
        <v>86</v>
      </c>
      <c r="AS67" s="9" t="s">
        <v>86</v>
      </c>
      <c r="AT67" s="9" t="s">
        <v>86</v>
      </c>
      <c r="AU67" s="12">
        <v>23747</v>
      </c>
      <c r="AV67" s="9" t="s">
        <v>86</v>
      </c>
      <c r="AW67" s="9" t="s">
        <v>86</v>
      </c>
      <c r="AX67" s="12">
        <v>13</v>
      </c>
      <c r="AY67" s="9" t="s">
        <v>319</v>
      </c>
      <c r="AZ67" s="9" t="s">
        <v>92</v>
      </c>
      <c r="BA67" s="9" t="s">
        <v>319</v>
      </c>
      <c r="BB67" s="9" t="s">
        <v>1394</v>
      </c>
      <c r="BC67" s="9" t="s">
        <v>86</v>
      </c>
      <c r="BD67" s="9" t="s">
        <v>86</v>
      </c>
      <c r="BE67" s="9" t="s">
        <v>86</v>
      </c>
      <c r="BF67" s="9" t="s">
        <v>86</v>
      </c>
      <c r="BG67" s="9" t="s">
        <v>95</v>
      </c>
      <c r="BH67" s="9" t="s">
        <v>1395</v>
      </c>
      <c r="BI67" s="9" t="str">
        <f>HYPERLINK("https%3A%2F%2Fwww.webofscience.com%2Fwos%2Fwoscc%2Ffull-record%2FWOS:001021366600001","View Full Record in Web of Science")</f>
        <v>View Full Record in Web of Science</v>
      </c>
    </row>
    <row r="68" spans="1:61" ht="12.75" x14ac:dyDescent="0.2">
      <c r="A68" s="8">
        <v>64</v>
      </c>
      <c r="B68" s="8" t="s">
        <v>1049</v>
      </c>
      <c r="C68" s="8" t="s">
        <v>1396</v>
      </c>
      <c r="D68" s="9" t="s">
        <v>1397</v>
      </c>
      <c r="E68" s="9" t="s">
        <v>1398</v>
      </c>
      <c r="F68" s="11" t="str">
        <f>HYPERLINK("http://dx.doi.org/10.1016/j.chemosphere.2022.135007","http://dx.doi.org/10.1016/j.chemosphere.2022.135007")</f>
        <v>http://dx.doi.org/10.1016/j.chemosphere.2022.135007</v>
      </c>
      <c r="G68" s="9" t="s">
        <v>200</v>
      </c>
      <c r="H68" s="9" t="s">
        <v>1399</v>
      </c>
      <c r="I68" s="9" t="s">
        <v>1400</v>
      </c>
      <c r="J68" s="9" t="s">
        <v>227</v>
      </c>
      <c r="K68" s="9" t="s">
        <v>68</v>
      </c>
      <c r="L68" s="9" t="s">
        <v>1401</v>
      </c>
      <c r="M68" s="9" t="s">
        <v>1402</v>
      </c>
      <c r="N68" s="9" t="s">
        <v>1403</v>
      </c>
      <c r="O68" s="9" t="s">
        <v>1404</v>
      </c>
      <c r="P68" s="9" t="s">
        <v>1405</v>
      </c>
      <c r="Q68" s="9" t="s">
        <v>1406</v>
      </c>
      <c r="R68" s="9" t="s">
        <v>1407</v>
      </c>
      <c r="S68" s="9" t="s">
        <v>1408</v>
      </c>
      <c r="T68" s="9" t="s">
        <v>1409</v>
      </c>
      <c r="U68" s="9" t="s">
        <v>1410</v>
      </c>
      <c r="V68" s="9" t="s">
        <v>1411</v>
      </c>
      <c r="W68" s="9" t="s">
        <v>80</v>
      </c>
      <c r="X68" s="12">
        <v>109</v>
      </c>
      <c r="Y68" s="12">
        <v>3</v>
      </c>
      <c r="Z68" s="12">
        <v>3</v>
      </c>
      <c r="AA68" s="12">
        <v>10</v>
      </c>
      <c r="AB68" s="12">
        <v>51</v>
      </c>
      <c r="AC68" s="9" t="s">
        <v>237</v>
      </c>
      <c r="AD68" s="9" t="s">
        <v>115</v>
      </c>
      <c r="AE68" s="9" t="s">
        <v>238</v>
      </c>
      <c r="AF68" s="9" t="s">
        <v>239</v>
      </c>
      <c r="AG68" s="9" t="s">
        <v>240</v>
      </c>
      <c r="AH68" s="9" t="s">
        <v>86</v>
      </c>
      <c r="AI68" s="9" t="s">
        <v>227</v>
      </c>
      <c r="AJ68" s="9" t="s">
        <v>241</v>
      </c>
      <c r="AK68" s="9" t="s">
        <v>440</v>
      </c>
      <c r="AL68" s="12">
        <v>2022</v>
      </c>
      <c r="AM68" s="12">
        <v>303</v>
      </c>
      <c r="AN68" s="9" t="s">
        <v>86</v>
      </c>
      <c r="AO68" s="12">
        <v>2</v>
      </c>
      <c r="AP68" s="9" t="s">
        <v>86</v>
      </c>
      <c r="AQ68" s="9" t="s">
        <v>86</v>
      </c>
      <c r="AR68" s="9" t="s">
        <v>86</v>
      </c>
      <c r="AS68" s="9" t="s">
        <v>86</v>
      </c>
      <c r="AT68" s="9" t="s">
        <v>86</v>
      </c>
      <c r="AU68" s="12">
        <v>135007</v>
      </c>
      <c r="AV68" s="9" t="s">
        <v>86</v>
      </c>
      <c r="AW68" s="9" t="s">
        <v>343</v>
      </c>
      <c r="AX68" s="12">
        <v>10</v>
      </c>
      <c r="AY68" s="9" t="s">
        <v>91</v>
      </c>
      <c r="AZ68" s="9" t="s">
        <v>92</v>
      </c>
      <c r="BA68" s="9" t="s">
        <v>93</v>
      </c>
      <c r="BB68" s="9" t="s">
        <v>1412</v>
      </c>
      <c r="BC68" s="12">
        <v>35644236</v>
      </c>
      <c r="BD68" s="9" t="s">
        <v>86</v>
      </c>
      <c r="BE68" s="9" t="s">
        <v>86</v>
      </c>
      <c r="BF68" s="9" t="s">
        <v>86</v>
      </c>
      <c r="BG68" s="9" t="s">
        <v>95</v>
      </c>
      <c r="BH68" s="9" t="s">
        <v>1413</v>
      </c>
      <c r="BI68" s="9" t="str">
        <f>HYPERLINK("https%3A%2F%2Fwww.webofscience.com%2Fwos%2Fwoscc%2Ffull-record%2FWOS:000807999500005","View Full Record in Web of Science")</f>
        <v>View Full Record in Web of Science</v>
      </c>
    </row>
    <row r="69" spans="1:61" customFormat="1" ht="12.75" x14ac:dyDescent="0.2">
      <c r="A69" s="1">
        <v>65</v>
      </c>
      <c r="B69" s="1" t="s">
        <v>1068</v>
      </c>
      <c r="C69" s="1" t="s">
        <v>1414</v>
      </c>
      <c r="D69" s="2" t="s">
        <v>1415</v>
      </c>
      <c r="E69" s="2" t="s">
        <v>1416</v>
      </c>
      <c r="F69" s="3" t="str">
        <f>HYPERLINK("http://dx.doi.org/10.1016/j.jenvman.2023.117720","http://dx.doi.org/10.1016/j.jenvman.2023.117720")</f>
        <v>http://dx.doi.org/10.1016/j.jenvman.2023.117720</v>
      </c>
      <c r="G69" s="2" t="s">
        <v>200</v>
      </c>
      <c r="H69" s="2" t="s">
        <v>1417</v>
      </c>
      <c r="I69" s="2" t="s">
        <v>1418</v>
      </c>
      <c r="J69" s="2" t="s">
        <v>835</v>
      </c>
      <c r="K69" s="2" t="s">
        <v>68</v>
      </c>
      <c r="L69" s="2" t="s">
        <v>1419</v>
      </c>
      <c r="M69" s="2" t="s">
        <v>1420</v>
      </c>
      <c r="N69" s="2" t="s">
        <v>1421</v>
      </c>
      <c r="O69" s="2" t="s">
        <v>1422</v>
      </c>
      <c r="P69" s="2" t="s">
        <v>1423</v>
      </c>
      <c r="Q69" s="2" t="s">
        <v>1424</v>
      </c>
      <c r="R69" s="2" t="s">
        <v>86</v>
      </c>
      <c r="S69" s="2" t="s">
        <v>86</v>
      </c>
      <c r="T69" s="2" t="s">
        <v>86</v>
      </c>
      <c r="U69" s="2" t="s">
        <v>86</v>
      </c>
      <c r="V69" s="2" t="s">
        <v>86</v>
      </c>
      <c r="W69" s="2" t="s">
        <v>80</v>
      </c>
      <c r="X69" s="4">
        <v>55</v>
      </c>
      <c r="Y69" s="4">
        <v>0</v>
      </c>
      <c r="Z69" s="4">
        <v>0</v>
      </c>
      <c r="AA69" s="4">
        <v>15</v>
      </c>
      <c r="AB69" s="4">
        <v>15</v>
      </c>
      <c r="AC69" s="2" t="s">
        <v>843</v>
      </c>
      <c r="AD69" s="2" t="s">
        <v>605</v>
      </c>
      <c r="AE69" s="2" t="s">
        <v>844</v>
      </c>
      <c r="AF69" s="2" t="s">
        <v>845</v>
      </c>
      <c r="AG69" s="2" t="s">
        <v>846</v>
      </c>
      <c r="AH69" s="2" t="s">
        <v>86</v>
      </c>
      <c r="AI69" s="2" t="s">
        <v>847</v>
      </c>
      <c r="AJ69" s="2" t="s">
        <v>848</v>
      </c>
      <c r="AK69" s="2" t="s">
        <v>1425</v>
      </c>
      <c r="AL69" s="4">
        <v>2023</v>
      </c>
      <c r="AM69" s="4">
        <v>336</v>
      </c>
      <c r="AN69" s="2" t="s">
        <v>86</v>
      </c>
      <c r="AO69" s="2" t="s">
        <v>86</v>
      </c>
      <c r="AP69" s="2" t="s">
        <v>86</v>
      </c>
      <c r="AQ69" s="2" t="s">
        <v>86</v>
      </c>
      <c r="AR69" s="2" t="s">
        <v>86</v>
      </c>
      <c r="AS69" s="2" t="s">
        <v>86</v>
      </c>
      <c r="AT69" s="2" t="s">
        <v>86</v>
      </c>
      <c r="AU69" s="4">
        <v>117720</v>
      </c>
      <c r="AV69" s="2" t="s">
        <v>86</v>
      </c>
      <c r="AW69" s="2" t="s">
        <v>1221</v>
      </c>
      <c r="AX69" s="4">
        <v>9</v>
      </c>
      <c r="AY69" s="2" t="s">
        <v>91</v>
      </c>
      <c r="AZ69" s="2" t="s">
        <v>92</v>
      </c>
      <c r="BA69" s="2" t="s">
        <v>93</v>
      </c>
      <c r="BB69" s="2" t="s">
        <v>1426</v>
      </c>
      <c r="BC69" s="4">
        <v>36907066</v>
      </c>
      <c r="BD69" s="2" t="s">
        <v>86</v>
      </c>
      <c r="BE69" s="2" t="s">
        <v>86</v>
      </c>
      <c r="BF69" s="2" t="s">
        <v>86</v>
      </c>
      <c r="BG69" s="2" t="s">
        <v>95</v>
      </c>
      <c r="BH69" s="2" t="s">
        <v>1427</v>
      </c>
      <c r="BI69" s="2" t="str">
        <f>HYPERLINK("https%3A%2F%2Fwww.webofscience.com%2Fwos%2Fwoscc%2Ffull-record%2FWOS:000955701200001","View Full Record in Web of Science")</f>
        <v>View Full Record in Web of Science</v>
      </c>
    </row>
    <row r="70" spans="1:61" ht="12.75" x14ac:dyDescent="0.2">
      <c r="A70" s="8">
        <v>66</v>
      </c>
      <c r="B70" s="8" t="s">
        <v>1049</v>
      </c>
      <c r="C70" s="8" t="s">
        <v>1428</v>
      </c>
      <c r="D70" s="9" t="s">
        <v>1429</v>
      </c>
      <c r="E70" s="9" t="s">
        <v>1430</v>
      </c>
      <c r="F70" s="11" t="str">
        <f>HYPERLINK("http://dx.doi.org/10.1016/j.marpolbul.2023.114684","http://dx.doi.org/10.1016/j.marpolbul.2023.114684")</f>
        <v>http://dx.doi.org/10.1016/j.marpolbul.2023.114684</v>
      </c>
      <c r="G70" s="9" t="s">
        <v>200</v>
      </c>
      <c r="H70" s="9" t="s">
        <v>1431</v>
      </c>
      <c r="I70" s="9" t="s">
        <v>1432</v>
      </c>
      <c r="J70" s="9" t="s">
        <v>424</v>
      </c>
      <c r="K70" s="9" t="s">
        <v>68</v>
      </c>
      <c r="L70" s="9" t="s">
        <v>1433</v>
      </c>
      <c r="M70" s="9" t="s">
        <v>1434</v>
      </c>
      <c r="N70" s="9" t="s">
        <v>1435</v>
      </c>
      <c r="O70" s="9" t="s">
        <v>1233</v>
      </c>
      <c r="P70" s="9" t="s">
        <v>1436</v>
      </c>
      <c r="Q70" s="9" t="s">
        <v>1437</v>
      </c>
      <c r="R70" s="9" t="s">
        <v>1438</v>
      </c>
      <c r="S70" s="9" t="s">
        <v>1439</v>
      </c>
      <c r="T70" s="9" t="s">
        <v>86</v>
      </c>
      <c r="U70" s="9" t="s">
        <v>86</v>
      </c>
      <c r="V70" s="9" t="s">
        <v>86</v>
      </c>
      <c r="W70" s="9" t="s">
        <v>80</v>
      </c>
      <c r="X70" s="12">
        <v>57</v>
      </c>
      <c r="Y70" s="12">
        <v>0</v>
      </c>
      <c r="Z70" s="12">
        <v>0</v>
      </c>
      <c r="AA70" s="12">
        <v>6</v>
      </c>
      <c r="AB70" s="12">
        <v>6</v>
      </c>
      <c r="AC70" s="9" t="s">
        <v>237</v>
      </c>
      <c r="AD70" s="9" t="s">
        <v>115</v>
      </c>
      <c r="AE70" s="9" t="s">
        <v>238</v>
      </c>
      <c r="AF70" s="9" t="s">
        <v>436</v>
      </c>
      <c r="AG70" s="9" t="s">
        <v>437</v>
      </c>
      <c r="AH70" s="9" t="s">
        <v>86</v>
      </c>
      <c r="AI70" s="9" t="s">
        <v>438</v>
      </c>
      <c r="AJ70" s="9" t="s">
        <v>439</v>
      </c>
      <c r="AK70" s="9" t="s">
        <v>366</v>
      </c>
      <c r="AL70" s="12">
        <v>2023</v>
      </c>
      <c r="AM70" s="12">
        <v>188</v>
      </c>
      <c r="AN70" s="9" t="s">
        <v>86</v>
      </c>
      <c r="AO70" s="9" t="s">
        <v>86</v>
      </c>
      <c r="AP70" s="9" t="s">
        <v>86</v>
      </c>
      <c r="AQ70" s="9" t="s">
        <v>86</v>
      </c>
      <c r="AR70" s="9" t="s">
        <v>86</v>
      </c>
      <c r="AS70" s="9" t="s">
        <v>86</v>
      </c>
      <c r="AT70" s="9" t="s">
        <v>86</v>
      </c>
      <c r="AU70" s="12">
        <v>114684</v>
      </c>
      <c r="AV70" s="9" t="s">
        <v>86</v>
      </c>
      <c r="AW70" s="9" t="s">
        <v>1440</v>
      </c>
      <c r="AX70" s="12">
        <v>6</v>
      </c>
      <c r="AY70" s="9" t="s">
        <v>441</v>
      </c>
      <c r="AZ70" s="9" t="s">
        <v>92</v>
      </c>
      <c r="BA70" s="9" t="s">
        <v>442</v>
      </c>
      <c r="BB70" s="9" t="s">
        <v>1441</v>
      </c>
      <c r="BC70" s="12">
        <v>36731374</v>
      </c>
      <c r="BD70" s="9" t="s">
        <v>86</v>
      </c>
      <c r="BE70" s="9" t="s">
        <v>86</v>
      </c>
      <c r="BF70" s="9" t="s">
        <v>86</v>
      </c>
      <c r="BG70" s="9" t="s">
        <v>95</v>
      </c>
      <c r="BH70" s="9" t="s">
        <v>1442</v>
      </c>
      <c r="BI70" s="9" t="str">
        <f>HYPERLINK("https%3A%2F%2Fwww.webofscience.com%2Fwos%2Fwoscc%2Ffull-record%2FWOS:000927810700001","View Full Record in Web of Science")</f>
        <v>View Full Record in Web of Science</v>
      </c>
    </row>
    <row r="71" spans="1:61" ht="12.75" x14ac:dyDescent="0.2">
      <c r="A71" s="8">
        <v>67</v>
      </c>
      <c r="B71" s="8" t="s">
        <v>1049</v>
      </c>
      <c r="C71" s="8" t="s">
        <v>1443</v>
      </c>
      <c r="D71" s="9" t="s">
        <v>1444</v>
      </c>
      <c r="E71" s="9" t="s">
        <v>1445</v>
      </c>
      <c r="F71" s="11" t="str">
        <f>HYPERLINK("http://dx.doi.org/10.4194/TRJFAS20253","http://dx.doi.org/10.4194/TRJFAS20253")</f>
        <v>http://dx.doi.org/10.4194/TRJFAS20253</v>
      </c>
      <c r="G71" s="9" t="s">
        <v>200</v>
      </c>
      <c r="H71" s="9" t="s">
        <v>1446</v>
      </c>
      <c r="I71" s="9" t="s">
        <v>1447</v>
      </c>
      <c r="J71" s="9" t="s">
        <v>620</v>
      </c>
      <c r="K71" s="9" t="s">
        <v>68</v>
      </c>
      <c r="L71" s="9" t="s">
        <v>1448</v>
      </c>
      <c r="M71" s="9" t="s">
        <v>1449</v>
      </c>
      <c r="N71" s="9" t="s">
        <v>1450</v>
      </c>
      <c r="O71" s="9" t="s">
        <v>1451</v>
      </c>
      <c r="P71" s="9" t="s">
        <v>1452</v>
      </c>
      <c r="Q71" s="9" t="s">
        <v>1453</v>
      </c>
      <c r="R71" s="9" t="s">
        <v>1454</v>
      </c>
      <c r="S71" s="9" t="s">
        <v>1455</v>
      </c>
      <c r="T71" s="9" t="s">
        <v>1456</v>
      </c>
      <c r="U71" s="9" t="s">
        <v>1456</v>
      </c>
      <c r="V71" s="9" t="s">
        <v>1457</v>
      </c>
      <c r="W71" s="9" t="s">
        <v>80</v>
      </c>
      <c r="X71" s="12">
        <v>84</v>
      </c>
      <c r="Y71" s="12">
        <v>4</v>
      </c>
      <c r="Z71" s="12">
        <v>5</v>
      </c>
      <c r="AA71" s="12">
        <v>9</v>
      </c>
      <c r="AB71" s="12">
        <v>53</v>
      </c>
      <c r="AC71" s="9" t="s">
        <v>629</v>
      </c>
      <c r="AD71" s="9" t="s">
        <v>630</v>
      </c>
      <c r="AE71" s="9" t="s">
        <v>631</v>
      </c>
      <c r="AF71" s="9" t="s">
        <v>632</v>
      </c>
      <c r="AG71" s="9" t="s">
        <v>633</v>
      </c>
      <c r="AH71" s="9" t="s">
        <v>86</v>
      </c>
      <c r="AI71" s="9" t="s">
        <v>634</v>
      </c>
      <c r="AJ71" s="9" t="s">
        <v>635</v>
      </c>
      <c r="AK71" s="9" t="s">
        <v>1458</v>
      </c>
      <c r="AL71" s="12">
        <v>2022</v>
      </c>
      <c r="AM71" s="12">
        <v>22</v>
      </c>
      <c r="AN71" s="12">
        <v>7</v>
      </c>
      <c r="AO71" s="9" t="s">
        <v>86</v>
      </c>
      <c r="AP71" s="9" t="s">
        <v>86</v>
      </c>
      <c r="AQ71" s="9" t="s">
        <v>963</v>
      </c>
      <c r="AR71" s="9" t="s">
        <v>86</v>
      </c>
      <c r="AS71" s="9" t="s">
        <v>86</v>
      </c>
      <c r="AT71" s="9" t="s">
        <v>86</v>
      </c>
      <c r="AU71" s="9" t="s">
        <v>1459</v>
      </c>
      <c r="AV71" s="9" t="s">
        <v>86</v>
      </c>
      <c r="AW71" s="9" t="s">
        <v>86</v>
      </c>
      <c r="AX71" s="12">
        <v>14</v>
      </c>
      <c r="AY71" s="9" t="s">
        <v>319</v>
      </c>
      <c r="AZ71" s="9" t="s">
        <v>92</v>
      </c>
      <c r="BA71" s="9" t="s">
        <v>319</v>
      </c>
      <c r="BB71" s="9" t="s">
        <v>1460</v>
      </c>
      <c r="BC71" s="9" t="s">
        <v>86</v>
      </c>
      <c r="BD71" s="9" t="s">
        <v>321</v>
      </c>
      <c r="BE71" s="9" t="s">
        <v>86</v>
      </c>
      <c r="BF71" s="9" t="s">
        <v>86</v>
      </c>
      <c r="BG71" s="9" t="s">
        <v>95</v>
      </c>
      <c r="BH71" s="9" t="s">
        <v>1461</v>
      </c>
      <c r="BI71" s="9" t="str">
        <f>HYPERLINK("https%3A%2F%2Fwww.webofscience.com%2Fwos%2Fwoscc%2Ffull-record%2FWOS:000763773900001","View Full Record in Web of Science")</f>
        <v>View Full Record in Web of Science</v>
      </c>
    </row>
    <row r="72" spans="1:61" customFormat="1" ht="12.75" x14ac:dyDescent="0.2">
      <c r="A72" s="1">
        <v>68</v>
      </c>
      <c r="B72" s="1" t="s">
        <v>1068</v>
      </c>
      <c r="C72" s="1" t="s">
        <v>1462</v>
      </c>
      <c r="D72" s="2" t="s">
        <v>1463</v>
      </c>
      <c r="E72" s="2" t="s">
        <v>1464</v>
      </c>
      <c r="F72" s="3" t="str">
        <f>HYPERLINK("http://dx.doi.org/10.4194/TRJFAS20537","http://dx.doi.org/10.4194/TRJFAS20537")</f>
        <v>http://dx.doi.org/10.4194/TRJFAS20537</v>
      </c>
      <c r="G72" s="2" t="s">
        <v>200</v>
      </c>
      <c r="H72" s="2" t="s">
        <v>1465</v>
      </c>
      <c r="I72" s="2" t="s">
        <v>1466</v>
      </c>
      <c r="J72" s="2" t="s">
        <v>620</v>
      </c>
      <c r="K72" s="2" t="s">
        <v>68</v>
      </c>
      <c r="L72" s="2" t="s">
        <v>1467</v>
      </c>
      <c r="M72" s="2" t="s">
        <v>1468</v>
      </c>
      <c r="N72" s="2" t="s">
        <v>1469</v>
      </c>
      <c r="O72" s="2" t="s">
        <v>1267</v>
      </c>
      <c r="P72" s="2" t="s">
        <v>1470</v>
      </c>
      <c r="Q72" s="2" t="s">
        <v>1471</v>
      </c>
      <c r="R72" s="2" t="s">
        <v>1472</v>
      </c>
      <c r="S72" s="2" t="s">
        <v>1473</v>
      </c>
      <c r="T72" s="2" t="s">
        <v>86</v>
      </c>
      <c r="U72" s="2" t="s">
        <v>86</v>
      </c>
      <c r="V72" s="2" t="s">
        <v>86</v>
      </c>
      <c r="W72" s="2" t="s">
        <v>80</v>
      </c>
      <c r="X72" s="4">
        <v>58</v>
      </c>
      <c r="Y72" s="4">
        <v>5</v>
      </c>
      <c r="Z72" s="4">
        <v>5</v>
      </c>
      <c r="AA72" s="4">
        <v>8</v>
      </c>
      <c r="AB72" s="4">
        <v>53</v>
      </c>
      <c r="AC72" s="2" t="s">
        <v>629</v>
      </c>
      <c r="AD72" s="2" t="s">
        <v>630</v>
      </c>
      <c r="AE72" s="2" t="s">
        <v>631</v>
      </c>
      <c r="AF72" s="2" t="s">
        <v>632</v>
      </c>
      <c r="AG72" s="2" t="s">
        <v>633</v>
      </c>
      <c r="AH72" s="2" t="s">
        <v>86</v>
      </c>
      <c r="AI72" s="2" t="s">
        <v>634</v>
      </c>
      <c r="AJ72" s="2" t="s">
        <v>635</v>
      </c>
      <c r="AK72" s="2" t="s">
        <v>1458</v>
      </c>
      <c r="AL72" s="4">
        <v>2022</v>
      </c>
      <c r="AM72" s="4">
        <v>22</v>
      </c>
      <c r="AN72" s="4">
        <v>7</v>
      </c>
      <c r="AO72" s="2" t="s">
        <v>86</v>
      </c>
      <c r="AP72" s="2" t="s">
        <v>86</v>
      </c>
      <c r="AQ72" s="2" t="s">
        <v>963</v>
      </c>
      <c r="AR72" s="2" t="s">
        <v>86</v>
      </c>
      <c r="AS72" s="2" t="s">
        <v>86</v>
      </c>
      <c r="AT72" s="2" t="s">
        <v>86</v>
      </c>
      <c r="AU72" s="2" t="s">
        <v>1474</v>
      </c>
      <c r="AV72" s="2" t="s">
        <v>86</v>
      </c>
      <c r="AW72" s="2" t="s">
        <v>86</v>
      </c>
      <c r="AX72" s="4">
        <v>9</v>
      </c>
      <c r="AY72" s="2" t="s">
        <v>319</v>
      </c>
      <c r="AZ72" s="2" t="s">
        <v>92</v>
      </c>
      <c r="BA72" s="2" t="s">
        <v>319</v>
      </c>
      <c r="BB72" s="2" t="s">
        <v>1460</v>
      </c>
      <c r="BC72" s="2" t="s">
        <v>86</v>
      </c>
      <c r="BD72" s="2" t="s">
        <v>321</v>
      </c>
      <c r="BE72" s="2" t="s">
        <v>86</v>
      </c>
      <c r="BF72" s="2" t="s">
        <v>86</v>
      </c>
      <c r="BG72" s="2" t="s">
        <v>95</v>
      </c>
      <c r="BH72" s="2" t="s">
        <v>1475</v>
      </c>
      <c r="BI72" s="2" t="str">
        <f>HYPERLINK("https%3A%2F%2Fwww.webofscience.com%2Fwos%2Fwoscc%2Ffull-record%2FWOS:000763773900003","View Full Record in Web of Science")</f>
        <v>View Full Record in Web of Science</v>
      </c>
    </row>
    <row r="73" spans="1:61" ht="12.75" x14ac:dyDescent="0.2">
      <c r="A73" s="8">
        <v>69</v>
      </c>
      <c r="B73" s="8" t="s">
        <v>1049</v>
      </c>
      <c r="C73" s="8" t="s">
        <v>1476</v>
      </c>
      <c r="D73" s="9" t="s">
        <v>1477</v>
      </c>
      <c r="E73" s="9" t="s">
        <v>1478</v>
      </c>
      <c r="F73" s="11" t="str">
        <f>HYPERLINK("http://dx.doi.org/10.1016/j.marpolbul.2023.114886","http://dx.doi.org/10.1016/j.marpolbul.2023.114886")</f>
        <v>http://dx.doi.org/10.1016/j.marpolbul.2023.114886</v>
      </c>
      <c r="G73" s="9" t="s">
        <v>200</v>
      </c>
      <c r="H73" s="9" t="s">
        <v>1479</v>
      </c>
      <c r="I73" s="9" t="s">
        <v>1480</v>
      </c>
      <c r="J73" s="9" t="s">
        <v>424</v>
      </c>
      <c r="K73" s="9" t="s">
        <v>68</v>
      </c>
      <c r="L73" s="9" t="s">
        <v>1481</v>
      </c>
      <c r="M73" s="9" t="s">
        <v>1482</v>
      </c>
      <c r="N73" s="9" t="s">
        <v>1483</v>
      </c>
      <c r="O73" s="9" t="s">
        <v>1422</v>
      </c>
      <c r="P73" s="9" t="s">
        <v>1484</v>
      </c>
      <c r="Q73" s="9" t="s">
        <v>1485</v>
      </c>
      <c r="R73" s="9" t="s">
        <v>86</v>
      </c>
      <c r="S73" s="9" t="s">
        <v>1486</v>
      </c>
      <c r="T73" s="9" t="s">
        <v>1487</v>
      </c>
      <c r="U73" s="9" t="s">
        <v>1488</v>
      </c>
      <c r="V73" s="9" t="s">
        <v>1489</v>
      </c>
      <c r="W73" s="9" t="s">
        <v>80</v>
      </c>
      <c r="X73" s="12">
        <v>54</v>
      </c>
      <c r="Y73" s="12">
        <v>0</v>
      </c>
      <c r="Z73" s="12">
        <v>0</v>
      </c>
      <c r="AA73" s="12">
        <v>4</v>
      </c>
      <c r="AB73" s="12">
        <v>4</v>
      </c>
      <c r="AC73" s="9" t="s">
        <v>237</v>
      </c>
      <c r="AD73" s="9" t="s">
        <v>115</v>
      </c>
      <c r="AE73" s="9" t="s">
        <v>238</v>
      </c>
      <c r="AF73" s="9" t="s">
        <v>436</v>
      </c>
      <c r="AG73" s="9" t="s">
        <v>437</v>
      </c>
      <c r="AH73" s="9" t="s">
        <v>86</v>
      </c>
      <c r="AI73" s="9" t="s">
        <v>438</v>
      </c>
      <c r="AJ73" s="9" t="s">
        <v>439</v>
      </c>
      <c r="AK73" s="9" t="s">
        <v>342</v>
      </c>
      <c r="AL73" s="12">
        <v>2023</v>
      </c>
      <c r="AM73" s="12">
        <v>191</v>
      </c>
      <c r="AN73" s="9" t="s">
        <v>86</v>
      </c>
      <c r="AO73" s="9" t="s">
        <v>86</v>
      </c>
      <c r="AP73" s="9" t="s">
        <v>86</v>
      </c>
      <c r="AQ73" s="9" t="s">
        <v>86</v>
      </c>
      <c r="AR73" s="9" t="s">
        <v>86</v>
      </c>
      <c r="AS73" s="9" t="s">
        <v>86</v>
      </c>
      <c r="AT73" s="9" t="s">
        <v>86</v>
      </c>
      <c r="AU73" s="12">
        <v>114886</v>
      </c>
      <c r="AV73" s="9" t="s">
        <v>86</v>
      </c>
      <c r="AW73" s="9" t="s">
        <v>86</v>
      </c>
      <c r="AX73" s="12">
        <v>8</v>
      </c>
      <c r="AY73" s="9" t="s">
        <v>441</v>
      </c>
      <c r="AZ73" s="9" t="s">
        <v>92</v>
      </c>
      <c r="BA73" s="9" t="s">
        <v>442</v>
      </c>
      <c r="BB73" s="9" t="s">
        <v>1490</v>
      </c>
      <c r="BC73" s="12">
        <v>37043931</v>
      </c>
      <c r="BD73" s="9" t="s">
        <v>1491</v>
      </c>
      <c r="BE73" s="9" t="s">
        <v>86</v>
      </c>
      <c r="BF73" s="9" t="s">
        <v>86</v>
      </c>
      <c r="BG73" s="9" t="s">
        <v>95</v>
      </c>
      <c r="BH73" s="9" t="s">
        <v>1492</v>
      </c>
      <c r="BI73" s="9" t="str">
        <f>HYPERLINK("https%3A%2F%2Fwww.webofscience.com%2Fwos%2Fwoscc%2Ffull-record%2FWOS:001010792500001","View Full Record in Web of Science")</f>
        <v>View Full Record in Web of Science</v>
      </c>
    </row>
    <row r="74" spans="1:61" customFormat="1" ht="12.75" x14ac:dyDescent="0.2">
      <c r="A74" s="1">
        <v>70</v>
      </c>
      <c r="B74" s="1" t="s">
        <v>1068</v>
      </c>
      <c r="C74" s="1" t="s">
        <v>1493</v>
      </c>
      <c r="D74" s="2" t="s">
        <v>1494</v>
      </c>
      <c r="E74" s="2" t="s">
        <v>1495</v>
      </c>
      <c r="F74" s="3" t="str">
        <f>HYPERLINK("http://dx.doi.org/10.31883/pjfns/163061","http://dx.doi.org/10.31883/pjfns/163061")</f>
        <v>http://dx.doi.org/10.31883/pjfns/163061</v>
      </c>
      <c r="G74" s="2" t="s">
        <v>200</v>
      </c>
      <c r="H74" s="2" t="s">
        <v>1496</v>
      </c>
      <c r="I74" s="2" t="s">
        <v>1497</v>
      </c>
      <c r="J74" s="2" t="s">
        <v>1498</v>
      </c>
      <c r="K74" s="2" t="s">
        <v>68</v>
      </c>
      <c r="L74" s="2" t="s">
        <v>1499</v>
      </c>
      <c r="M74" s="2" t="s">
        <v>1500</v>
      </c>
      <c r="N74" s="2" t="s">
        <v>1501</v>
      </c>
      <c r="O74" s="2" t="s">
        <v>1502</v>
      </c>
      <c r="P74" s="2" t="s">
        <v>1503</v>
      </c>
      <c r="Q74" s="2" t="s">
        <v>1504</v>
      </c>
      <c r="R74" s="2" t="s">
        <v>1505</v>
      </c>
      <c r="S74" s="2" t="s">
        <v>1506</v>
      </c>
      <c r="T74" s="2" t="s">
        <v>1507</v>
      </c>
      <c r="U74" s="2" t="s">
        <v>1508</v>
      </c>
      <c r="V74" s="2" t="s">
        <v>1509</v>
      </c>
      <c r="W74" s="2" t="s">
        <v>80</v>
      </c>
      <c r="X74" s="4">
        <v>59</v>
      </c>
      <c r="Y74" s="4">
        <v>0</v>
      </c>
      <c r="Z74" s="4">
        <v>0</v>
      </c>
      <c r="AA74" s="4">
        <v>1</v>
      </c>
      <c r="AB74" s="4">
        <v>1</v>
      </c>
      <c r="AC74" s="2" t="s">
        <v>1510</v>
      </c>
      <c r="AD74" s="2" t="s">
        <v>1511</v>
      </c>
      <c r="AE74" s="2" t="s">
        <v>1512</v>
      </c>
      <c r="AF74" s="2" t="s">
        <v>1513</v>
      </c>
      <c r="AG74" s="2" t="s">
        <v>1514</v>
      </c>
      <c r="AH74" s="2" t="s">
        <v>86</v>
      </c>
      <c r="AI74" s="2" t="s">
        <v>1515</v>
      </c>
      <c r="AJ74" s="2" t="s">
        <v>1516</v>
      </c>
      <c r="AK74" s="2" t="s">
        <v>86</v>
      </c>
      <c r="AL74" s="4">
        <v>2023</v>
      </c>
      <c r="AM74" s="4">
        <v>73</v>
      </c>
      <c r="AN74" s="4">
        <v>2</v>
      </c>
      <c r="AO74" s="2" t="s">
        <v>86</v>
      </c>
      <c r="AP74" s="2" t="s">
        <v>86</v>
      </c>
      <c r="AQ74" s="2" t="s">
        <v>86</v>
      </c>
      <c r="AR74" s="2" t="s">
        <v>86</v>
      </c>
      <c r="AS74" s="4">
        <v>139</v>
      </c>
      <c r="AT74" s="4">
        <v>150</v>
      </c>
      <c r="AU74" s="2" t="s">
        <v>86</v>
      </c>
      <c r="AV74" s="2" t="s">
        <v>86</v>
      </c>
      <c r="AW74" s="2" t="s">
        <v>86</v>
      </c>
      <c r="AX74" s="4">
        <v>12</v>
      </c>
      <c r="AY74" s="2" t="s">
        <v>269</v>
      </c>
      <c r="AZ74" s="2" t="s">
        <v>92</v>
      </c>
      <c r="BA74" s="2" t="s">
        <v>269</v>
      </c>
      <c r="BB74" s="2" t="s">
        <v>1517</v>
      </c>
      <c r="BC74" s="2" t="s">
        <v>86</v>
      </c>
      <c r="BD74" s="2" t="s">
        <v>321</v>
      </c>
      <c r="BE74" s="2" t="s">
        <v>86</v>
      </c>
      <c r="BF74" s="2" t="s">
        <v>86</v>
      </c>
      <c r="BG74" s="2" t="s">
        <v>95</v>
      </c>
      <c r="BH74" s="2" t="s">
        <v>1518</v>
      </c>
      <c r="BI74" s="2" t="str">
        <f>HYPERLINK("https%3A%2F%2Fwww.webofscience.com%2Fwos%2Fwoscc%2Ffull-record%2FWOS:001013606000004","View Full Record in Web of Science")</f>
        <v>View Full Record in Web of Science</v>
      </c>
    </row>
    <row r="75" spans="1:61" ht="12.75" x14ac:dyDescent="0.2">
      <c r="A75" s="8">
        <v>71</v>
      </c>
      <c r="B75" s="8" t="s">
        <v>1049</v>
      </c>
      <c r="C75" s="8" t="s">
        <v>1519</v>
      </c>
      <c r="D75" s="9" t="s">
        <v>1520</v>
      </c>
      <c r="E75" s="9" t="s">
        <v>1521</v>
      </c>
      <c r="F75" s="11" t="str">
        <f>HYPERLINK("http://dx.doi.org/10.1016/j.marpolbul.2017.03.002","http://dx.doi.org/10.1016/j.marpolbul.2017.03.002")</f>
        <v>http://dx.doi.org/10.1016/j.marpolbul.2017.03.002</v>
      </c>
      <c r="G75" s="9" t="s">
        <v>200</v>
      </c>
      <c r="H75" s="9" t="s">
        <v>1522</v>
      </c>
      <c r="I75" s="9" t="s">
        <v>1523</v>
      </c>
      <c r="J75" s="9" t="s">
        <v>424</v>
      </c>
      <c r="K75" s="9" t="s">
        <v>68</v>
      </c>
      <c r="L75" s="9" t="s">
        <v>1524</v>
      </c>
      <c r="M75" s="9" t="s">
        <v>1525</v>
      </c>
      <c r="N75" s="9" t="s">
        <v>1526</v>
      </c>
      <c r="O75" s="9" t="s">
        <v>1173</v>
      </c>
      <c r="P75" s="9" t="s">
        <v>1174</v>
      </c>
      <c r="Q75" s="9" t="s">
        <v>1527</v>
      </c>
      <c r="R75" s="9" t="s">
        <v>1528</v>
      </c>
      <c r="S75" s="9" t="s">
        <v>1529</v>
      </c>
      <c r="T75" s="9" t="s">
        <v>1177</v>
      </c>
      <c r="U75" s="9" t="s">
        <v>1178</v>
      </c>
      <c r="V75" s="9" t="s">
        <v>1530</v>
      </c>
      <c r="W75" s="9" t="s">
        <v>80</v>
      </c>
      <c r="X75" s="12">
        <v>50</v>
      </c>
      <c r="Y75" s="12">
        <v>74</v>
      </c>
      <c r="Z75" s="12">
        <v>79</v>
      </c>
      <c r="AA75" s="12">
        <v>4</v>
      </c>
      <c r="AB75" s="12">
        <v>109</v>
      </c>
      <c r="AC75" s="9" t="s">
        <v>237</v>
      </c>
      <c r="AD75" s="9" t="s">
        <v>115</v>
      </c>
      <c r="AE75" s="9" t="s">
        <v>238</v>
      </c>
      <c r="AF75" s="9" t="s">
        <v>436</v>
      </c>
      <c r="AG75" s="9" t="s">
        <v>437</v>
      </c>
      <c r="AH75" s="9" t="s">
        <v>86</v>
      </c>
      <c r="AI75" s="9" t="s">
        <v>438</v>
      </c>
      <c r="AJ75" s="9" t="s">
        <v>439</v>
      </c>
      <c r="AK75" s="9" t="s">
        <v>1531</v>
      </c>
      <c r="AL75" s="12">
        <v>2017</v>
      </c>
      <c r="AM75" s="12">
        <v>118</v>
      </c>
      <c r="AN75" s="9" t="s">
        <v>1532</v>
      </c>
      <c r="AO75" s="9" t="s">
        <v>86</v>
      </c>
      <c r="AP75" s="9" t="s">
        <v>86</v>
      </c>
      <c r="AQ75" s="9" t="s">
        <v>86</v>
      </c>
      <c r="AR75" s="9" t="s">
        <v>86</v>
      </c>
      <c r="AS75" s="12">
        <v>341</v>
      </c>
      <c r="AT75" s="12">
        <v>347</v>
      </c>
      <c r="AU75" s="9" t="s">
        <v>86</v>
      </c>
      <c r="AV75" s="9" t="s">
        <v>86</v>
      </c>
      <c r="AW75" s="9" t="s">
        <v>86</v>
      </c>
      <c r="AX75" s="12">
        <v>7</v>
      </c>
      <c r="AY75" s="9" t="s">
        <v>441</v>
      </c>
      <c r="AZ75" s="9" t="s">
        <v>92</v>
      </c>
      <c r="BA75" s="9" t="s">
        <v>442</v>
      </c>
      <c r="BB75" s="9" t="s">
        <v>1533</v>
      </c>
      <c r="BC75" s="12">
        <v>28302357</v>
      </c>
      <c r="BD75" s="9" t="s">
        <v>86</v>
      </c>
      <c r="BE75" s="9" t="s">
        <v>86</v>
      </c>
      <c r="BF75" s="9" t="s">
        <v>86</v>
      </c>
      <c r="BG75" s="9" t="s">
        <v>95</v>
      </c>
      <c r="BH75" s="9" t="s">
        <v>1534</v>
      </c>
      <c r="BI75" s="9" t="str">
        <f>HYPERLINK("https%3A%2F%2Fwww.webofscience.com%2Fwos%2Fwoscc%2Ffull-record%2FWOS:000402217300052","View Full Record in Web of Science")</f>
        <v>View Full Record in Web of Science</v>
      </c>
    </row>
    <row r="76" spans="1:61" ht="12.75" x14ac:dyDescent="0.2">
      <c r="A76" s="8">
        <v>72</v>
      </c>
      <c r="B76" s="8" t="s">
        <v>1049</v>
      </c>
      <c r="C76" s="8" t="s">
        <v>1535</v>
      </c>
      <c r="D76" s="9" t="s">
        <v>1536</v>
      </c>
      <c r="E76" s="9" t="s">
        <v>1537</v>
      </c>
      <c r="F76" s="11" t="str">
        <f>HYPERLINK("http://dx.doi.org/10.1016/j.envres.2022.115001","http://dx.doi.org/10.1016/j.envres.2022.115001")</f>
        <v>http://dx.doi.org/10.1016/j.envres.2022.115001</v>
      </c>
      <c r="G76" s="9" t="s">
        <v>200</v>
      </c>
      <c r="H76" s="9" t="s">
        <v>1538</v>
      </c>
      <c r="I76" s="9" t="s">
        <v>1539</v>
      </c>
      <c r="J76" s="9" t="s">
        <v>1540</v>
      </c>
      <c r="K76" s="9" t="s">
        <v>68</v>
      </c>
      <c r="L76" s="9" t="s">
        <v>1541</v>
      </c>
      <c r="M76" s="9" t="s">
        <v>1542</v>
      </c>
      <c r="N76" s="9" t="s">
        <v>1543</v>
      </c>
      <c r="O76" s="9" t="s">
        <v>1544</v>
      </c>
      <c r="P76" s="9" t="s">
        <v>1484</v>
      </c>
      <c r="Q76" s="9" t="s">
        <v>1485</v>
      </c>
      <c r="R76" s="9" t="s">
        <v>1545</v>
      </c>
      <c r="S76" s="9" t="s">
        <v>1546</v>
      </c>
      <c r="T76" s="9" t="s">
        <v>1547</v>
      </c>
      <c r="U76" s="9" t="s">
        <v>1548</v>
      </c>
      <c r="V76" s="9" t="s">
        <v>1549</v>
      </c>
      <c r="W76" s="9" t="s">
        <v>80</v>
      </c>
      <c r="X76" s="12">
        <v>70</v>
      </c>
      <c r="Y76" s="12">
        <v>2</v>
      </c>
      <c r="Z76" s="12">
        <v>2</v>
      </c>
      <c r="AA76" s="12">
        <v>16</v>
      </c>
      <c r="AB76" s="12">
        <v>16</v>
      </c>
      <c r="AC76" s="9" t="s">
        <v>1550</v>
      </c>
      <c r="AD76" s="9" t="s">
        <v>1551</v>
      </c>
      <c r="AE76" s="9" t="s">
        <v>1552</v>
      </c>
      <c r="AF76" s="9" t="s">
        <v>1553</v>
      </c>
      <c r="AG76" s="9" t="s">
        <v>1554</v>
      </c>
      <c r="AH76" s="9" t="s">
        <v>86</v>
      </c>
      <c r="AI76" s="9" t="s">
        <v>1555</v>
      </c>
      <c r="AJ76" s="9" t="s">
        <v>1556</v>
      </c>
      <c r="AK76" s="9" t="s">
        <v>611</v>
      </c>
      <c r="AL76" s="12">
        <v>2023</v>
      </c>
      <c r="AM76" s="12">
        <v>218</v>
      </c>
      <c r="AN76" s="9" t="s">
        <v>86</v>
      </c>
      <c r="AO76" s="9" t="s">
        <v>86</v>
      </c>
      <c r="AP76" s="9" t="s">
        <v>86</v>
      </c>
      <c r="AQ76" s="9" t="s">
        <v>86</v>
      </c>
      <c r="AR76" s="9" t="s">
        <v>86</v>
      </c>
      <c r="AS76" s="9" t="s">
        <v>86</v>
      </c>
      <c r="AT76" s="9" t="s">
        <v>86</v>
      </c>
      <c r="AU76" s="12">
        <v>115001</v>
      </c>
      <c r="AV76" s="9" t="s">
        <v>86</v>
      </c>
      <c r="AW76" s="9" t="s">
        <v>391</v>
      </c>
      <c r="AX76" s="12">
        <v>8</v>
      </c>
      <c r="AY76" s="9" t="s">
        <v>720</v>
      </c>
      <c r="AZ76" s="9" t="s">
        <v>92</v>
      </c>
      <c r="BA76" s="9" t="s">
        <v>721</v>
      </c>
      <c r="BB76" s="9" t="s">
        <v>1557</v>
      </c>
      <c r="BC76" s="12">
        <v>36481368</v>
      </c>
      <c r="BD76" s="9" t="s">
        <v>86</v>
      </c>
      <c r="BE76" s="9" t="s">
        <v>86</v>
      </c>
      <c r="BF76" s="9" t="s">
        <v>86</v>
      </c>
      <c r="BG76" s="9" t="s">
        <v>95</v>
      </c>
      <c r="BH76" s="9" t="s">
        <v>1558</v>
      </c>
      <c r="BI76" s="9" t="str">
        <f>HYPERLINK("https%3A%2F%2Fwww.webofscience.com%2Fwos%2Fwoscc%2Ffull-record%2FWOS:000906374900006","View Full Record in Web of Science")</f>
        <v>View Full Record in Web of Science</v>
      </c>
    </row>
    <row r="77" spans="1:61" customFormat="1" ht="12.75" x14ac:dyDescent="0.2">
      <c r="A77" s="1">
        <v>73</v>
      </c>
      <c r="B77" s="1" t="s">
        <v>1068</v>
      </c>
      <c r="C77" s="1" t="s">
        <v>1559</v>
      </c>
      <c r="D77" s="2" t="s">
        <v>1560</v>
      </c>
      <c r="E77" s="2" t="s">
        <v>1561</v>
      </c>
      <c r="F77" s="3" t="str">
        <f>HYPERLINK("http://dx.doi.org/10.1016/j.scitotenv.2020.140479","http://dx.doi.org/10.1016/j.scitotenv.2020.140479")</f>
        <v>http://dx.doi.org/10.1016/j.scitotenv.2020.140479</v>
      </c>
      <c r="G77" s="2" t="s">
        <v>200</v>
      </c>
      <c r="H77" s="2" t="s">
        <v>1562</v>
      </c>
      <c r="I77" s="2" t="s">
        <v>1563</v>
      </c>
      <c r="J77" s="2" t="s">
        <v>576</v>
      </c>
      <c r="K77" s="2" t="s">
        <v>68</v>
      </c>
      <c r="L77" s="2" t="s">
        <v>1564</v>
      </c>
      <c r="M77" s="2" t="s">
        <v>1565</v>
      </c>
      <c r="N77" s="2" t="s">
        <v>1566</v>
      </c>
      <c r="O77" s="2" t="s">
        <v>1567</v>
      </c>
      <c r="P77" s="2" t="s">
        <v>1568</v>
      </c>
      <c r="Q77" s="2" t="s">
        <v>1569</v>
      </c>
      <c r="R77" s="2" t="s">
        <v>1570</v>
      </c>
      <c r="S77" s="2" t="s">
        <v>1571</v>
      </c>
      <c r="T77" s="2" t="s">
        <v>1572</v>
      </c>
      <c r="U77" s="2" t="s">
        <v>235</v>
      </c>
      <c r="V77" s="2" t="s">
        <v>1573</v>
      </c>
      <c r="W77" s="2" t="s">
        <v>80</v>
      </c>
      <c r="X77" s="4">
        <v>44</v>
      </c>
      <c r="Y77" s="4">
        <v>87</v>
      </c>
      <c r="Z77" s="4">
        <v>92</v>
      </c>
      <c r="AA77" s="4">
        <v>71</v>
      </c>
      <c r="AB77" s="4">
        <v>503</v>
      </c>
      <c r="AC77" s="2" t="s">
        <v>585</v>
      </c>
      <c r="AD77" s="2" t="s">
        <v>586</v>
      </c>
      <c r="AE77" s="2" t="s">
        <v>587</v>
      </c>
      <c r="AF77" s="2" t="s">
        <v>588</v>
      </c>
      <c r="AG77" s="2" t="s">
        <v>589</v>
      </c>
      <c r="AH77" s="2" t="s">
        <v>86</v>
      </c>
      <c r="AI77" s="2" t="s">
        <v>590</v>
      </c>
      <c r="AJ77" s="2" t="s">
        <v>591</v>
      </c>
      <c r="AK77" s="2" t="s">
        <v>1574</v>
      </c>
      <c r="AL77" s="4">
        <v>2020</v>
      </c>
      <c r="AM77" s="4">
        <v>743</v>
      </c>
      <c r="AN77" s="2" t="s">
        <v>86</v>
      </c>
      <c r="AO77" s="2" t="s">
        <v>86</v>
      </c>
      <c r="AP77" s="2" t="s">
        <v>86</v>
      </c>
      <c r="AQ77" s="2" t="s">
        <v>86</v>
      </c>
      <c r="AR77" s="2" t="s">
        <v>86</v>
      </c>
      <c r="AS77" s="2" t="s">
        <v>86</v>
      </c>
      <c r="AT77" s="2" t="s">
        <v>86</v>
      </c>
      <c r="AU77" s="4">
        <v>140479</v>
      </c>
      <c r="AV77" s="2" t="s">
        <v>86</v>
      </c>
      <c r="AW77" s="2" t="s">
        <v>86</v>
      </c>
      <c r="AX77" s="4">
        <v>7</v>
      </c>
      <c r="AY77" s="2" t="s">
        <v>91</v>
      </c>
      <c r="AZ77" s="2" t="s">
        <v>92</v>
      </c>
      <c r="BA77" s="2" t="s">
        <v>93</v>
      </c>
      <c r="BB77" s="2" t="s">
        <v>1575</v>
      </c>
      <c r="BC77" s="4">
        <v>32653702</v>
      </c>
      <c r="BD77" s="2" t="s">
        <v>86</v>
      </c>
      <c r="BE77" s="2" t="s">
        <v>86</v>
      </c>
      <c r="BF77" s="2" t="s">
        <v>86</v>
      </c>
      <c r="BG77" s="2" t="s">
        <v>95</v>
      </c>
      <c r="BH77" s="2" t="s">
        <v>1576</v>
      </c>
      <c r="BI77" s="2" t="str">
        <f>HYPERLINK("https%3A%2F%2Fwww.webofscience.com%2Fwos%2Fwoscc%2Ffull-record%2FWOS:000573538400006","View Full Record in Web of Science")</f>
        <v>View Full Record in Web of Science</v>
      </c>
    </row>
    <row r="78" spans="1:61" customFormat="1" ht="12.75" x14ac:dyDescent="0.2">
      <c r="A78" s="1">
        <v>74</v>
      </c>
      <c r="B78" s="1" t="s">
        <v>1068</v>
      </c>
      <c r="C78" s="1" t="s">
        <v>1577</v>
      </c>
      <c r="D78" s="2" t="s">
        <v>1578</v>
      </c>
      <c r="E78" s="2" t="s">
        <v>1579</v>
      </c>
      <c r="F78" s="3" t="str">
        <f>HYPERLINK("http://dx.doi.org/10.1007/s11356-021-12358-2","http://dx.doi.org/10.1007/s11356-021-12358-2")</f>
        <v>http://dx.doi.org/10.1007/s11356-021-12358-2</v>
      </c>
      <c r="G78" s="2" t="s">
        <v>200</v>
      </c>
      <c r="H78" s="2" t="s">
        <v>1580</v>
      </c>
      <c r="I78" s="2" t="s">
        <v>1581</v>
      </c>
      <c r="J78" s="2" t="s">
        <v>67</v>
      </c>
      <c r="K78" s="2" t="s">
        <v>68</v>
      </c>
      <c r="L78" s="2" t="s">
        <v>1582</v>
      </c>
      <c r="M78" s="2" t="s">
        <v>86</v>
      </c>
      <c r="N78" s="2" t="s">
        <v>1583</v>
      </c>
      <c r="O78" s="2" t="s">
        <v>1584</v>
      </c>
      <c r="P78" s="2" t="s">
        <v>1585</v>
      </c>
      <c r="Q78" s="2" t="s">
        <v>1586</v>
      </c>
      <c r="R78" s="2" t="s">
        <v>1587</v>
      </c>
      <c r="S78" s="2" t="s">
        <v>1588</v>
      </c>
      <c r="T78" s="2" t="s">
        <v>1589</v>
      </c>
      <c r="U78" s="2" t="s">
        <v>1590</v>
      </c>
      <c r="V78" s="2" t="s">
        <v>1591</v>
      </c>
      <c r="W78" s="2" t="s">
        <v>80</v>
      </c>
      <c r="X78" s="4">
        <v>26</v>
      </c>
      <c r="Y78" s="4">
        <v>9</v>
      </c>
      <c r="Z78" s="4">
        <v>9</v>
      </c>
      <c r="AA78" s="4">
        <v>14</v>
      </c>
      <c r="AB78" s="4">
        <v>123</v>
      </c>
      <c r="AC78" s="2" t="s">
        <v>81</v>
      </c>
      <c r="AD78" s="2" t="s">
        <v>82</v>
      </c>
      <c r="AE78" s="2" t="s">
        <v>83</v>
      </c>
      <c r="AF78" s="2" t="s">
        <v>84</v>
      </c>
      <c r="AG78" s="2" t="s">
        <v>85</v>
      </c>
      <c r="AH78" s="2" t="s">
        <v>86</v>
      </c>
      <c r="AI78" s="2" t="s">
        <v>87</v>
      </c>
      <c r="AJ78" s="2" t="s">
        <v>88</v>
      </c>
      <c r="AK78" s="2" t="s">
        <v>217</v>
      </c>
      <c r="AL78" s="4">
        <v>2021</v>
      </c>
      <c r="AM78" s="4">
        <v>28</v>
      </c>
      <c r="AN78" s="4">
        <v>45</v>
      </c>
      <c r="AO78" s="2" t="s">
        <v>86</v>
      </c>
      <c r="AP78" s="2" t="s">
        <v>86</v>
      </c>
      <c r="AQ78" s="2" t="s">
        <v>86</v>
      </c>
      <c r="AR78" s="2" t="s">
        <v>86</v>
      </c>
      <c r="AS78" s="4">
        <v>63860</v>
      </c>
      <c r="AT78" s="4">
        <v>63866</v>
      </c>
      <c r="AU78" s="2" t="s">
        <v>86</v>
      </c>
      <c r="AV78" s="2" t="s">
        <v>86</v>
      </c>
      <c r="AW78" s="2" t="s">
        <v>1592</v>
      </c>
      <c r="AX78" s="4">
        <v>7</v>
      </c>
      <c r="AY78" s="2" t="s">
        <v>91</v>
      </c>
      <c r="AZ78" s="2" t="s">
        <v>92</v>
      </c>
      <c r="BA78" s="2" t="s">
        <v>93</v>
      </c>
      <c r="BB78" s="2" t="s">
        <v>1593</v>
      </c>
      <c r="BC78" s="4">
        <v>33462694</v>
      </c>
      <c r="BD78" s="2" t="s">
        <v>86</v>
      </c>
      <c r="BE78" s="2" t="s">
        <v>86</v>
      </c>
      <c r="BF78" s="2" t="s">
        <v>86</v>
      </c>
      <c r="BG78" s="2" t="s">
        <v>95</v>
      </c>
      <c r="BH78" s="2" t="s">
        <v>1594</v>
      </c>
      <c r="BI78" s="2" t="str">
        <f>HYPERLINK("https%3A%2F%2Fwww.webofscience.com%2Fwos%2Fwoscc%2Ffull-record%2FWOS:000608673400002","View Full Record in Web of Science")</f>
        <v>View Full Record in Web of Science</v>
      </c>
    </row>
    <row r="79" spans="1:61" customFormat="1" ht="12.75" x14ac:dyDescent="0.2">
      <c r="A79" s="1">
        <v>75</v>
      </c>
      <c r="B79" s="1" t="s">
        <v>1068</v>
      </c>
      <c r="C79" s="1" t="s">
        <v>1595</v>
      </c>
      <c r="D79" s="2" t="s">
        <v>1596</v>
      </c>
      <c r="E79" s="2" t="s">
        <v>1597</v>
      </c>
      <c r="F79" s="3" t="str">
        <f>HYPERLINK("http://dx.doi.org/10.1016/j.marpolbul.2022.114097","http://dx.doi.org/10.1016/j.marpolbul.2022.114097")</f>
        <v>http://dx.doi.org/10.1016/j.marpolbul.2022.114097</v>
      </c>
      <c r="G79" s="2" t="s">
        <v>200</v>
      </c>
      <c r="H79" s="2" t="s">
        <v>1598</v>
      </c>
      <c r="I79" s="2" t="s">
        <v>1599</v>
      </c>
      <c r="J79" s="2" t="s">
        <v>424</v>
      </c>
      <c r="K79" s="2" t="s">
        <v>68</v>
      </c>
      <c r="L79" s="2" t="s">
        <v>1600</v>
      </c>
      <c r="M79" s="2" t="s">
        <v>1601</v>
      </c>
      <c r="N79" s="2" t="s">
        <v>1602</v>
      </c>
      <c r="O79" s="2" t="s">
        <v>1233</v>
      </c>
      <c r="P79" s="2" t="s">
        <v>1234</v>
      </c>
      <c r="Q79" s="2" t="s">
        <v>1603</v>
      </c>
      <c r="R79" s="2" t="s">
        <v>1604</v>
      </c>
      <c r="S79" s="2" t="s">
        <v>86</v>
      </c>
      <c r="T79" s="2" t="s">
        <v>86</v>
      </c>
      <c r="U79" s="2" t="s">
        <v>86</v>
      </c>
      <c r="V79" s="2" t="s">
        <v>86</v>
      </c>
      <c r="W79" s="2" t="s">
        <v>80</v>
      </c>
      <c r="X79" s="4">
        <v>86</v>
      </c>
      <c r="Y79" s="4">
        <v>3</v>
      </c>
      <c r="Z79" s="4">
        <v>3</v>
      </c>
      <c r="AA79" s="4">
        <v>16</v>
      </c>
      <c r="AB79" s="4">
        <v>32</v>
      </c>
      <c r="AC79" s="2" t="s">
        <v>237</v>
      </c>
      <c r="AD79" s="2" t="s">
        <v>115</v>
      </c>
      <c r="AE79" s="2" t="s">
        <v>238</v>
      </c>
      <c r="AF79" s="2" t="s">
        <v>436</v>
      </c>
      <c r="AG79" s="2" t="s">
        <v>437</v>
      </c>
      <c r="AH79" s="2" t="s">
        <v>86</v>
      </c>
      <c r="AI79" s="2" t="s">
        <v>438</v>
      </c>
      <c r="AJ79" s="2" t="s">
        <v>439</v>
      </c>
      <c r="AK79" s="2" t="s">
        <v>873</v>
      </c>
      <c r="AL79" s="4">
        <v>2022</v>
      </c>
      <c r="AM79" s="4">
        <v>183</v>
      </c>
      <c r="AN79" s="2" t="s">
        <v>86</v>
      </c>
      <c r="AO79" s="2" t="s">
        <v>86</v>
      </c>
      <c r="AP79" s="2" t="s">
        <v>86</v>
      </c>
      <c r="AQ79" s="2" t="s">
        <v>86</v>
      </c>
      <c r="AR79" s="2" t="s">
        <v>86</v>
      </c>
      <c r="AS79" s="2" t="s">
        <v>86</v>
      </c>
      <c r="AT79" s="2" t="s">
        <v>86</v>
      </c>
      <c r="AU79" s="4">
        <v>114097</v>
      </c>
      <c r="AV79" s="2" t="s">
        <v>86</v>
      </c>
      <c r="AW79" s="2" t="s">
        <v>294</v>
      </c>
      <c r="AX79" s="4">
        <v>9</v>
      </c>
      <c r="AY79" s="2" t="s">
        <v>441</v>
      </c>
      <c r="AZ79" s="2" t="s">
        <v>92</v>
      </c>
      <c r="BA79" s="2" t="s">
        <v>442</v>
      </c>
      <c r="BB79" s="2" t="s">
        <v>1605</v>
      </c>
      <c r="BC79" s="4">
        <v>36075116</v>
      </c>
      <c r="BD79" s="2" t="s">
        <v>86</v>
      </c>
      <c r="BE79" s="2" t="s">
        <v>86</v>
      </c>
      <c r="BF79" s="2" t="s">
        <v>86</v>
      </c>
      <c r="BG79" s="2" t="s">
        <v>95</v>
      </c>
      <c r="BH79" s="2" t="s">
        <v>1606</v>
      </c>
      <c r="BI79" s="2" t="str">
        <f>HYPERLINK("https%3A%2F%2Fwww.webofscience.com%2Fwos%2Fwoscc%2Ffull-record%2FWOS:000863168100003","View Full Record in Web of Science")</f>
        <v>View Full Record in Web of Science</v>
      </c>
    </row>
    <row r="80" spans="1:61" customFormat="1" ht="12.75" x14ac:dyDescent="0.2">
      <c r="A80" s="1">
        <v>76</v>
      </c>
      <c r="B80" s="1" t="s">
        <v>1068</v>
      </c>
      <c r="C80" s="1" t="s">
        <v>1607</v>
      </c>
      <c r="D80" s="2" t="s">
        <v>1608</v>
      </c>
      <c r="E80" s="2" t="s">
        <v>1609</v>
      </c>
      <c r="F80" s="3" t="str">
        <f>HYPERLINK("http://dx.doi.org/10.1007/s11270-022-05901-5","http://dx.doi.org/10.1007/s11270-022-05901-5")</f>
        <v>http://dx.doi.org/10.1007/s11270-022-05901-5</v>
      </c>
      <c r="G80" s="2" t="s">
        <v>200</v>
      </c>
      <c r="H80" s="2" t="s">
        <v>1610</v>
      </c>
      <c r="I80" s="2" t="s">
        <v>1611</v>
      </c>
      <c r="J80" s="2" t="s">
        <v>1122</v>
      </c>
      <c r="K80" s="2" t="s">
        <v>68</v>
      </c>
      <c r="L80" s="2" t="s">
        <v>1612</v>
      </c>
      <c r="M80" s="2" t="s">
        <v>1613</v>
      </c>
      <c r="N80" s="2" t="s">
        <v>1614</v>
      </c>
      <c r="O80" s="2" t="s">
        <v>1615</v>
      </c>
      <c r="P80" s="2" t="s">
        <v>1616</v>
      </c>
      <c r="Q80" s="2" t="s">
        <v>1617</v>
      </c>
      <c r="R80" s="2" t="s">
        <v>1618</v>
      </c>
      <c r="S80" s="2" t="s">
        <v>1619</v>
      </c>
      <c r="T80" s="2" t="s">
        <v>1620</v>
      </c>
      <c r="U80" s="2" t="s">
        <v>1621</v>
      </c>
      <c r="V80" s="2" t="s">
        <v>1622</v>
      </c>
      <c r="W80" s="2" t="s">
        <v>80</v>
      </c>
      <c r="X80" s="4">
        <v>49</v>
      </c>
      <c r="Y80" s="4">
        <v>2</v>
      </c>
      <c r="Z80" s="4">
        <v>2</v>
      </c>
      <c r="AA80" s="4">
        <v>34</v>
      </c>
      <c r="AB80" s="4">
        <v>54</v>
      </c>
      <c r="AC80" s="2" t="s">
        <v>1130</v>
      </c>
      <c r="AD80" s="2" t="s">
        <v>1131</v>
      </c>
      <c r="AE80" s="2" t="s">
        <v>1132</v>
      </c>
      <c r="AF80" s="2" t="s">
        <v>1133</v>
      </c>
      <c r="AG80" s="2" t="s">
        <v>1134</v>
      </c>
      <c r="AH80" s="2" t="s">
        <v>86</v>
      </c>
      <c r="AI80" s="2" t="s">
        <v>1135</v>
      </c>
      <c r="AJ80" s="2" t="s">
        <v>1136</v>
      </c>
      <c r="AK80" s="2" t="s">
        <v>121</v>
      </c>
      <c r="AL80" s="4">
        <v>2022</v>
      </c>
      <c r="AM80" s="4">
        <v>233</v>
      </c>
      <c r="AN80" s="4">
        <v>11</v>
      </c>
      <c r="AO80" s="2" t="s">
        <v>86</v>
      </c>
      <c r="AP80" s="2" t="s">
        <v>86</v>
      </c>
      <c r="AQ80" s="2" t="s">
        <v>86</v>
      </c>
      <c r="AR80" s="2" t="s">
        <v>86</v>
      </c>
      <c r="AS80" s="2" t="s">
        <v>86</v>
      </c>
      <c r="AT80" s="2" t="s">
        <v>86</v>
      </c>
      <c r="AU80" s="4">
        <v>433</v>
      </c>
      <c r="AV80" s="2" t="s">
        <v>86</v>
      </c>
      <c r="AW80" s="2" t="s">
        <v>86</v>
      </c>
      <c r="AX80" s="4">
        <v>15</v>
      </c>
      <c r="AY80" s="2" t="s">
        <v>1137</v>
      </c>
      <c r="AZ80" s="2" t="s">
        <v>92</v>
      </c>
      <c r="BA80" s="2" t="s">
        <v>1138</v>
      </c>
      <c r="BB80" s="2" t="s">
        <v>1623</v>
      </c>
      <c r="BC80" s="2" t="s">
        <v>86</v>
      </c>
      <c r="BD80" s="2" t="s">
        <v>86</v>
      </c>
      <c r="BE80" s="2" t="s">
        <v>86</v>
      </c>
      <c r="BF80" s="2" t="s">
        <v>86</v>
      </c>
      <c r="BG80" s="2" t="s">
        <v>95</v>
      </c>
      <c r="BH80" s="2" t="s">
        <v>1624</v>
      </c>
      <c r="BI80" s="2" t="str">
        <f>HYPERLINK("https%3A%2F%2Fwww.webofscience.com%2Fwos%2Fwoscc%2Ffull-record%2FWOS:000871040200001","View Full Record in Web of Science")</f>
        <v>View Full Record in Web of Science</v>
      </c>
    </row>
    <row r="81" spans="1:61" ht="12.75" x14ac:dyDescent="0.2">
      <c r="A81" s="8">
        <v>77</v>
      </c>
      <c r="B81" s="8" t="s">
        <v>1049</v>
      </c>
      <c r="C81" s="8" t="s">
        <v>1625</v>
      </c>
      <c r="D81" s="9" t="s">
        <v>1626</v>
      </c>
      <c r="E81" s="9" t="s">
        <v>1627</v>
      </c>
      <c r="F81" s="11" t="str">
        <f>HYPERLINK("http://dx.doi.org/10.1016/j.jenvman.2022.116029","http://dx.doi.org/10.1016/j.jenvman.2022.116029")</f>
        <v>http://dx.doi.org/10.1016/j.jenvman.2022.116029</v>
      </c>
      <c r="G81" s="9" t="s">
        <v>200</v>
      </c>
      <c r="H81" s="9" t="s">
        <v>1628</v>
      </c>
      <c r="I81" s="9" t="s">
        <v>1629</v>
      </c>
      <c r="J81" s="9" t="s">
        <v>835</v>
      </c>
      <c r="K81" s="9" t="s">
        <v>68</v>
      </c>
      <c r="L81" s="9" t="s">
        <v>1630</v>
      </c>
      <c r="M81" s="9" t="s">
        <v>1631</v>
      </c>
      <c r="N81" s="9" t="s">
        <v>1632</v>
      </c>
      <c r="O81" s="9" t="s">
        <v>1211</v>
      </c>
      <c r="P81" s="9" t="s">
        <v>1633</v>
      </c>
      <c r="Q81" s="9" t="s">
        <v>1634</v>
      </c>
      <c r="R81" s="9" t="s">
        <v>1635</v>
      </c>
      <c r="S81" s="9" t="s">
        <v>1636</v>
      </c>
      <c r="T81" s="9" t="s">
        <v>86</v>
      </c>
      <c r="U81" s="9" t="s">
        <v>86</v>
      </c>
      <c r="V81" s="9" t="s">
        <v>86</v>
      </c>
      <c r="W81" s="9" t="s">
        <v>80</v>
      </c>
      <c r="X81" s="12">
        <v>65</v>
      </c>
      <c r="Y81" s="12">
        <v>4</v>
      </c>
      <c r="Z81" s="12">
        <v>4</v>
      </c>
      <c r="AA81" s="12">
        <v>14</v>
      </c>
      <c r="AB81" s="12">
        <v>34</v>
      </c>
      <c r="AC81" s="9" t="s">
        <v>843</v>
      </c>
      <c r="AD81" s="9" t="s">
        <v>605</v>
      </c>
      <c r="AE81" s="9" t="s">
        <v>844</v>
      </c>
      <c r="AF81" s="9" t="s">
        <v>845</v>
      </c>
      <c r="AG81" s="9" t="s">
        <v>846</v>
      </c>
      <c r="AH81" s="9" t="s">
        <v>86</v>
      </c>
      <c r="AI81" s="9" t="s">
        <v>847</v>
      </c>
      <c r="AJ81" s="9" t="s">
        <v>848</v>
      </c>
      <c r="AK81" s="9" t="s">
        <v>1637</v>
      </c>
      <c r="AL81" s="12">
        <v>2022</v>
      </c>
      <c r="AM81" s="12">
        <v>321</v>
      </c>
      <c r="AN81" s="9" t="s">
        <v>86</v>
      </c>
      <c r="AO81" s="9" t="s">
        <v>86</v>
      </c>
      <c r="AP81" s="9" t="s">
        <v>86</v>
      </c>
      <c r="AQ81" s="9" t="s">
        <v>86</v>
      </c>
      <c r="AR81" s="9" t="s">
        <v>86</v>
      </c>
      <c r="AS81" s="9" t="s">
        <v>86</v>
      </c>
      <c r="AT81" s="9" t="s">
        <v>86</v>
      </c>
      <c r="AU81" s="12">
        <v>116029</v>
      </c>
      <c r="AV81" s="9" t="s">
        <v>86</v>
      </c>
      <c r="AW81" s="9" t="s">
        <v>1638</v>
      </c>
      <c r="AX81" s="12">
        <v>7</v>
      </c>
      <c r="AY81" s="9" t="s">
        <v>91</v>
      </c>
      <c r="AZ81" s="9" t="s">
        <v>92</v>
      </c>
      <c r="BA81" s="9" t="s">
        <v>93</v>
      </c>
      <c r="BB81" s="9" t="s">
        <v>1639</v>
      </c>
      <c r="BC81" s="12">
        <v>36007384</v>
      </c>
      <c r="BD81" s="9" t="s">
        <v>86</v>
      </c>
      <c r="BE81" s="9" t="s">
        <v>86</v>
      </c>
      <c r="BF81" s="9" t="s">
        <v>86</v>
      </c>
      <c r="BG81" s="9" t="s">
        <v>95</v>
      </c>
      <c r="BH81" s="9" t="s">
        <v>1640</v>
      </c>
      <c r="BI81" s="9" t="str">
        <f>HYPERLINK("https%3A%2F%2Fwww.webofscience.com%2Fwos%2Fwoscc%2Ffull-record%2FWOS:000848485200004","View Full Record in Web of Science")</f>
        <v>View Full Record in Web of Science</v>
      </c>
    </row>
    <row r="82" spans="1:61" ht="12.75" x14ac:dyDescent="0.2">
      <c r="A82" s="8">
        <v>78</v>
      </c>
      <c r="B82" s="8" t="s">
        <v>1049</v>
      </c>
      <c r="C82" s="8" t="s">
        <v>1641</v>
      </c>
      <c r="D82" s="9" t="s">
        <v>1642</v>
      </c>
      <c r="E82" s="9" t="s">
        <v>1643</v>
      </c>
      <c r="F82" s="11" t="str">
        <f>HYPERLINK("http://dx.doi.org/10.26650/ASE20221131876","http://dx.doi.org/10.26650/ASE20221131876")</f>
        <v>http://dx.doi.org/10.26650/ASE20221131876</v>
      </c>
      <c r="G82" s="9" t="s">
        <v>200</v>
      </c>
      <c r="H82" s="9" t="s">
        <v>1644</v>
      </c>
      <c r="I82" s="9" t="s">
        <v>1645</v>
      </c>
      <c r="J82" s="9" t="s">
        <v>155</v>
      </c>
      <c r="K82" s="9" t="s">
        <v>68</v>
      </c>
      <c r="L82" s="9" t="s">
        <v>1646</v>
      </c>
      <c r="M82" s="9" t="s">
        <v>1647</v>
      </c>
      <c r="N82" s="9" t="s">
        <v>1648</v>
      </c>
      <c r="O82" s="9" t="s">
        <v>1233</v>
      </c>
      <c r="P82" s="9" t="s">
        <v>1649</v>
      </c>
      <c r="Q82" s="9" t="s">
        <v>1650</v>
      </c>
      <c r="R82" s="9" t="s">
        <v>1651</v>
      </c>
      <c r="S82" s="9" t="s">
        <v>1652</v>
      </c>
      <c r="T82" s="9" t="s">
        <v>86</v>
      </c>
      <c r="U82" s="9" t="s">
        <v>86</v>
      </c>
      <c r="V82" s="9" t="s">
        <v>86</v>
      </c>
      <c r="W82" s="9" t="s">
        <v>80</v>
      </c>
      <c r="X82" s="12">
        <v>44</v>
      </c>
      <c r="Y82" s="12">
        <v>0</v>
      </c>
      <c r="Z82" s="12">
        <v>0</v>
      </c>
      <c r="AA82" s="12">
        <v>1</v>
      </c>
      <c r="AB82" s="12">
        <v>1</v>
      </c>
      <c r="AC82" s="9" t="s">
        <v>164</v>
      </c>
      <c r="AD82" s="9" t="s">
        <v>165</v>
      </c>
      <c r="AE82" s="9" t="s">
        <v>166</v>
      </c>
      <c r="AF82" s="9" t="s">
        <v>86</v>
      </c>
      <c r="AG82" s="9" t="s">
        <v>167</v>
      </c>
      <c r="AH82" s="9" t="s">
        <v>86</v>
      </c>
      <c r="AI82" s="9" t="s">
        <v>168</v>
      </c>
      <c r="AJ82" s="9" t="s">
        <v>169</v>
      </c>
      <c r="AK82" s="9" t="s">
        <v>86</v>
      </c>
      <c r="AL82" s="12">
        <v>2022</v>
      </c>
      <c r="AM82" s="12">
        <v>37</v>
      </c>
      <c r="AN82" s="12">
        <v>4</v>
      </c>
      <c r="AO82" s="9" t="s">
        <v>86</v>
      </c>
      <c r="AP82" s="9" t="s">
        <v>86</v>
      </c>
      <c r="AQ82" s="9" t="s">
        <v>86</v>
      </c>
      <c r="AR82" s="9" t="s">
        <v>86</v>
      </c>
      <c r="AS82" s="12">
        <v>235</v>
      </c>
      <c r="AT82" s="12">
        <v>239</v>
      </c>
      <c r="AU82" s="9" t="s">
        <v>86</v>
      </c>
      <c r="AV82" s="9" t="s">
        <v>86</v>
      </c>
      <c r="AW82" s="9" t="s">
        <v>86</v>
      </c>
      <c r="AX82" s="12">
        <v>5</v>
      </c>
      <c r="AY82" s="9" t="s">
        <v>170</v>
      </c>
      <c r="AZ82" s="9" t="s">
        <v>171</v>
      </c>
      <c r="BA82" s="9" t="s">
        <v>170</v>
      </c>
      <c r="BB82" s="9" t="s">
        <v>1653</v>
      </c>
      <c r="BC82" s="9" t="s">
        <v>86</v>
      </c>
      <c r="BD82" s="9" t="s">
        <v>497</v>
      </c>
      <c r="BE82" s="9" t="s">
        <v>86</v>
      </c>
      <c r="BF82" s="9" t="s">
        <v>86</v>
      </c>
      <c r="BG82" s="9" t="s">
        <v>95</v>
      </c>
      <c r="BH82" s="9" t="s">
        <v>1654</v>
      </c>
      <c r="BI82" s="9" t="str">
        <f>HYPERLINK("https%3A%2F%2Fwww.webofscience.com%2Fwos%2Fwoscc%2Ffull-record%2FWOS:000926184000008","View Full Record in Web of Science")</f>
        <v>View Full Record in Web of Science</v>
      </c>
    </row>
    <row r="83" spans="1:61" customFormat="1" ht="12.75" x14ac:dyDescent="0.2">
      <c r="A83" s="1">
        <v>79</v>
      </c>
      <c r="B83" s="1" t="s">
        <v>1068</v>
      </c>
      <c r="C83" s="1" t="s">
        <v>1655</v>
      </c>
      <c r="D83" s="2" t="s">
        <v>1656</v>
      </c>
      <c r="E83" s="2" t="s">
        <v>1657</v>
      </c>
      <c r="F83" s="3" t="str">
        <f>HYPERLINK("http://dx.doi.org/10.1007/s11356-022-25054-6","http://dx.doi.org/10.1007/s11356-022-25054-6")</f>
        <v>http://dx.doi.org/10.1007/s11356-022-25054-6</v>
      </c>
      <c r="G83" s="2" t="s">
        <v>200</v>
      </c>
      <c r="H83" s="2" t="s">
        <v>1417</v>
      </c>
      <c r="I83" s="2" t="s">
        <v>1418</v>
      </c>
      <c r="J83" s="2" t="s">
        <v>67</v>
      </c>
      <c r="K83" s="2" t="s">
        <v>68</v>
      </c>
      <c r="L83" s="2" t="s">
        <v>1658</v>
      </c>
      <c r="M83" s="2" t="s">
        <v>1659</v>
      </c>
      <c r="N83" s="2" t="s">
        <v>1660</v>
      </c>
      <c r="O83" s="2" t="s">
        <v>1422</v>
      </c>
      <c r="P83" s="2" t="s">
        <v>1661</v>
      </c>
      <c r="Q83" s="2" t="s">
        <v>1424</v>
      </c>
      <c r="R83" s="2" t="s">
        <v>86</v>
      </c>
      <c r="S83" s="2" t="s">
        <v>1662</v>
      </c>
      <c r="T83" s="2" t="s">
        <v>86</v>
      </c>
      <c r="U83" s="2" t="s">
        <v>86</v>
      </c>
      <c r="V83" s="2" t="s">
        <v>86</v>
      </c>
      <c r="W83" s="2" t="s">
        <v>80</v>
      </c>
      <c r="X83" s="4">
        <v>45</v>
      </c>
      <c r="Y83" s="4">
        <v>1</v>
      </c>
      <c r="Z83" s="4">
        <v>1</v>
      </c>
      <c r="AA83" s="4">
        <v>17</v>
      </c>
      <c r="AB83" s="4">
        <v>19</v>
      </c>
      <c r="AC83" s="2" t="s">
        <v>81</v>
      </c>
      <c r="AD83" s="2" t="s">
        <v>82</v>
      </c>
      <c r="AE83" s="2" t="s">
        <v>83</v>
      </c>
      <c r="AF83" s="2" t="s">
        <v>84</v>
      </c>
      <c r="AG83" s="2" t="s">
        <v>85</v>
      </c>
      <c r="AH83" s="2" t="s">
        <v>86</v>
      </c>
      <c r="AI83" s="2" t="s">
        <v>87</v>
      </c>
      <c r="AJ83" s="2" t="s">
        <v>88</v>
      </c>
      <c r="AK83" s="2" t="s">
        <v>366</v>
      </c>
      <c r="AL83" s="4">
        <v>2023</v>
      </c>
      <c r="AM83" s="4">
        <v>30</v>
      </c>
      <c r="AN83" s="4">
        <v>14</v>
      </c>
      <c r="AO83" s="2" t="s">
        <v>86</v>
      </c>
      <c r="AP83" s="2" t="s">
        <v>86</v>
      </c>
      <c r="AQ83" s="2" t="s">
        <v>86</v>
      </c>
      <c r="AR83" s="2" t="s">
        <v>86</v>
      </c>
      <c r="AS83" s="4">
        <v>39815</v>
      </c>
      <c r="AT83" s="4">
        <v>39825</v>
      </c>
      <c r="AU83" s="2" t="s">
        <v>86</v>
      </c>
      <c r="AV83" s="2" t="s">
        <v>86</v>
      </c>
      <c r="AW83" s="2" t="s">
        <v>612</v>
      </c>
      <c r="AX83" s="4">
        <v>11</v>
      </c>
      <c r="AY83" s="2" t="s">
        <v>91</v>
      </c>
      <c r="AZ83" s="2" t="s">
        <v>92</v>
      </c>
      <c r="BA83" s="2" t="s">
        <v>93</v>
      </c>
      <c r="BB83" s="2" t="s">
        <v>1663</v>
      </c>
      <c r="BC83" s="4">
        <v>36602737</v>
      </c>
      <c r="BD83" s="2" t="s">
        <v>86</v>
      </c>
      <c r="BE83" s="2" t="s">
        <v>86</v>
      </c>
      <c r="BF83" s="2" t="s">
        <v>86</v>
      </c>
      <c r="BG83" s="2" t="s">
        <v>95</v>
      </c>
      <c r="BH83" s="2" t="s">
        <v>1664</v>
      </c>
      <c r="BI83" s="2" t="str">
        <f>HYPERLINK("https%3A%2F%2Fwww.webofscience.com%2Fwos%2Fwoscc%2Ffull-record%2FWOS:000909510200012","View Full Record in Web of Science")</f>
        <v>View Full Record in Web of Science</v>
      </c>
    </row>
    <row r="84" spans="1:61" ht="12.75" x14ac:dyDescent="0.2">
      <c r="A84" s="8">
        <v>80</v>
      </c>
      <c r="B84" s="8" t="s">
        <v>1049</v>
      </c>
      <c r="C84" s="8" t="s">
        <v>1665</v>
      </c>
      <c r="D84" s="9" t="s">
        <v>1666</v>
      </c>
      <c r="E84" s="9" t="s">
        <v>1667</v>
      </c>
      <c r="F84" s="11" t="str">
        <f>HYPERLINK("http://dx.doi.org/10.1007/s11356-022-22898-w","http://dx.doi.org/10.1007/s11356-022-22898-w")</f>
        <v>http://dx.doi.org/10.1007/s11356-022-22898-w</v>
      </c>
      <c r="G84" s="9" t="s">
        <v>200</v>
      </c>
      <c r="H84" s="9" t="s">
        <v>1668</v>
      </c>
      <c r="I84" s="9" t="s">
        <v>1669</v>
      </c>
      <c r="J84" s="9" t="s">
        <v>67</v>
      </c>
      <c r="K84" s="9" t="s">
        <v>68</v>
      </c>
      <c r="L84" s="9" t="s">
        <v>1670</v>
      </c>
      <c r="M84" s="9" t="s">
        <v>1671</v>
      </c>
      <c r="N84" s="9" t="s">
        <v>1672</v>
      </c>
      <c r="O84" s="9" t="s">
        <v>1233</v>
      </c>
      <c r="P84" s="9" t="s">
        <v>1673</v>
      </c>
      <c r="Q84" s="9" t="s">
        <v>1650</v>
      </c>
      <c r="R84" s="9" t="s">
        <v>1651</v>
      </c>
      <c r="S84" s="9" t="s">
        <v>1652</v>
      </c>
      <c r="T84" s="9" t="s">
        <v>86</v>
      </c>
      <c r="U84" s="9" t="s">
        <v>86</v>
      </c>
      <c r="V84" s="9" t="s">
        <v>86</v>
      </c>
      <c r="W84" s="9" t="s">
        <v>80</v>
      </c>
      <c r="X84" s="12">
        <v>76</v>
      </c>
      <c r="Y84" s="12">
        <v>2</v>
      </c>
      <c r="Z84" s="12">
        <v>2</v>
      </c>
      <c r="AA84" s="12">
        <v>8</v>
      </c>
      <c r="AB84" s="12">
        <v>15</v>
      </c>
      <c r="AC84" s="9" t="s">
        <v>81</v>
      </c>
      <c r="AD84" s="9" t="s">
        <v>82</v>
      </c>
      <c r="AE84" s="9" t="s">
        <v>83</v>
      </c>
      <c r="AF84" s="9" t="s">
        <v>84</v>
      </c>
      <c r="AG84" s="9" t="s">
        <v>85</v>
      </c>
      <c r="AH84" s="9" t="s">
        <v>86</v>
      </c>
      <c r="AI84" s="9" t="s">
        <v>87</v>
      </c>
      <c r="AJ84" s="9" t="s">
        <v>88</v>
      </c>
      <c r="AK84" s="9" t="s">
        <v>534</v>
      </c>
      <c r="AL84" s="12">
        <v>2023</v>
      </c>
      <c r="AM84" s="12">
        <v>30</v>
      </c>
      <c r="AN84" s="12">
        <v>4</v>
      </c>
      <c r="AO84" s="9" t="s">
        <v>86</v>
      </c>
      <c r="AP84" s="9" t="s">
        <v>86</v>
      </c>
      <c r="AQ84" s="9" t="s">
        <v>86</v>
      </c>
      <c r="AR84" s="9" t="s">
        <v>86</v>
      </c>
      <c r="AS84" s="12">
        <v>10914</v>
      </c>
      <c r="AT84" s="12">
        <v>10924</v>
      </c>
      <c r="AU84" s="9" t="s">
        <v>86</v>
      </c>
      <c r="AV84" s="9" t="s">
        <v>86</v>
      </c>
      <c r="AW84" s="9" t="s">
        <v>294</v>
      </c>
      <c r="AX84" s="12">
        <v>11</v>
      </c>
      <c r="AY84" s="9" t="s">
        <v>91</v>
      </c>
      <c r="AZ84" s="9" t="s">
        <v>92</v>
      </c>
      <c r="BA84" s="9" t="s">
        <v>93</v>
      </c>
      <c r="BB84" s="9" t="s">
        <v>1674</v>
      </c>
      <c r="BC84" s="12">
        <v>36088443</v>
      </c>
      <c r="BD84" s="9" t="s">
        <v>86</v>
      </c>
      <c r="BE84" s="9" t="s">
        <v>86</v>
      </c>
      <c r="BF84" s="9" t="s">
        <v>86</v>
      </c>
      <c r="BG84" s="9" t="s">
        <v>95</v>
      </c>
      <c r="BH84" s="9" t="s">
        <v>1675</v>
      </c>
      <c r="BI84" s="9" t="str">
        <f>HYPERLINK("https%3A%2F%2Fwww.webofscience.com%2Fwos%2Fwoscc%2Ffull-record%2FWOS:000852342500006","View Full Record in Web of Science")</f>
        <v>View Full Record in Web of Science</v>
      </c>
    </row>
    <row r="85" spans="1:61" ht="12.75" x14ac:dyDescent="0.2">
      <c r="A85" s="8">
        <v>81</v>
      </c>
      <c r="B85" s="8" t="s">
        <v>1049</v>
      </c>
      <c r="C85" s="8" t="s">
        <v>1676</v>
      </c>
      <c r="D85" s="9" t="s">
        <v>1677</v>
      </c>
      <c r="E85" s="9" t="s">
        <v>1678</v>
      </c>
      <c r="F85" s="11" t="str">
        <f>HYPERLINK("http://dx.doi.org/10.1016/j.marpolbul.2019.05.003","http://dx.doi.org/10.1016/j.marpolbul.2019.05.003")</f>
        <v>http://dx.doi.org/10.1016/j.marpolbul.2019.05.003</v>
      </c>
      <c r="G85" s="9" t="s">
        <v>200</v>
      </c>
      <c r="H85" s="9" t="s">
        <v>1679</v>
      </c>
      <c r="I85" s="9" t="s">
        <v>1680</v>
      </c>
      <c r="J85" s="9" t="s">
        <v>424</v>
      </c>
      <c r="K85" s="9" t="s">
        <v>68</v>
      </c>
      <c r="L85" s="9" t="s">
        <v>1681</v>
      </c>
      <c r="M85" s="9" t="s">
        <v>1682</v>
      </c>
      <c r="N85" s="9" t="s">
        <v>1683</v>
      </c>
      <c r="O85" s="9" t="s">
        <v>1684</v>
      </c>
      <c r="P85" s="9" t="s">
        <v>1685</v>
      </c>
      <c r="Q85" s="9" t="s">
        <v>1686</v>
      </c>
      <c r="R85" s="9" t="s">
        <v>1687</v>
      </c>
      <c r="S85" s="9" t="s">
        <v>1688</v>
      </c>
      <c r="T85" s="9" t="s">
        <v>86</v>
      </c>
      <c r="U85" s="9" t="s">
        <v>86</v>
      </c>
      <c r="V85" s="9" t="s">
        <v>86</v>
      </c>
      <c r="W85" s="9" t="s">
        <v>80</v>
      </c>
      <c r="X85" s="12">
        <v>46</v>
      </c>
      <c r="Y85" s="12">
        <v>40</v>
      </c>
      <c r="Z85" s="12">
        <v>40</v>
      </c>
      <c r="AA85" s="12">
        <v>4</v>
      </c>
      <c r="AB85" s="12">
        <v>60</v>
      </c>
      <c r="AC85" s="9" t="s">
        <v>237</v>
      </c>
      <c r="AD85" s="9" t="s">
        <v>115</v>
      </c>
      <c r="AE85" s="9" t="s">
        <v>238</v>
      </c>
      <c r="AF85" s="9" t="s">
        <v>436</v>
      </c>
      <c r="AG85" s="9" t="s">
        <v>437</v>
      </c>
      <c r="AH85" s="9" t="s">
        <v>86</v>
      </c>
      <c r="AI85" s="9" t="s">
        <v>438</v>
      </c>
      <c r="AJ85" s="9" t="s">
        <v>439</v>
      </c>
      <c r="AK85" s="9" t="s">
        <v>636</v>
      </c>
      <c r="AL85" s="12">
        <v>2019</v>
      </c>
      <c r="AM85" s="12">
        <v>145</v>
      </c>
      <c r="AN85" s="9" t="s">
        <v>86</v>
      </c>
      <c r="AO85" s="9" t="s">
        <v>86</v>
      </c>
      <c r="AP85" s="9" t="s">
        <v>86</v>
      </c>
      <c r="AQ85" s="9" t="s">
        <v>86</v>
      </c>
      <c r="AR85" s="9" t="s">
        <v>86</v>
      </c>
      <c r="AS85" s="12">
        <v>47</v>
      </c>
      <c r="AT85" s="12">
        <v>55</v>
      </c>
      <c r="AU85" s="9" t="s">
        <v>86</v>
      </c>
      <c r="AV85" s="9" t="s">
        <v>86</v>
      </c>
      <c r="AW85" s="9" t="s">
        <v>86</v>
      </c>
      <c r="AX85" s="12">
        <v>9</v>
      </c>
      <c r="AY85" s="9" t="s">
        <v>441</v>
      </c>
      <c r="AZ85" s="9" t="s">
        <v>92</v>
      </c>
      <c r="BA85" s="9" t="s">
        <v>442</v>
      </c>
      <c r="BB85" s="9" t="s">
        <v>1689</v>
      </c>
      <c r="BC85" s="12">
        <v>31590812</v>
      </c>
      <c r="BD85" s="9" t="s">
        <v>86</v>
      </c>
      <c r="BE85" s="9" t="s">
        <v>86</v>
      </c>
      <c r="BF85" s="9" t="s">
        <v>86</v>
      </c>
      <c r="BG85" s="9" t="s">
        <v>95</v>
      </c>
      <c r="BH85" s="9" t="s">
        <v>1690</v>
      </c>
      <c r="BI85" s="9" t="str">
        <f>HYPERLINK("https%3A%2F%2Fwww.webofscience.com%2Fwos%2Fwoscc%2Ffull-record%2FWOS:000482493000008","View Full Record in Web of Science")</f>
        <v>View Full Record in Web of Science</v>
      </c>
    </row>
    <row r="86" spans="1:61" ht="12.75" x14ac:dyDescent="0.2">
      <c r="A86" s="8">
        <v>82</v>
      </c>
      <c r="B86" s="8" t="s">
        <v>1049</v>
      </c>
      <c r="C86" s="8" t="s">
        <v>1691</v>
      </c>
      <c r="D86" s="9" t="s">
        <v>1692</v>
      </c>
      <c r="E86" s="9" t="s">
        <v>1693</v>
      </c>
      <c r="F86" s="11" t="str">
        <f>HYPERLINK("http://dx.doi.org/10.1016/j.marenvres.2016.05.009","http://dx.doi.org/10.1016/j.marenvres.2016.05.009")</f>
        <v>http://dx.doi.org/10.1016/j.marenvres.2016.05.009</v>
      </c>
      <c r="G86" s="9" t="s">
        <v>200</v>
      </c>
      <c r="H86" s="9" t="s">
        <v>1694</v>
      </c>
      <c r="I86" s="9" t="s">
        <v>1695</v>
      </c>
      <c r="J86" s="9" t="s">
        <v>1696</v>
      </c>
      <c r="K86" s="9" t="s">
        <v>68</v>
      </c>
      <c r="L86" s="9" t="s">
        <v>1697</v>
      </c>
      <c r="M86" s="9" t="s">
        <v>1698</v>
      </c>
      <c r="N86" s="9" t="s">
        <v>1699</v>
      </c>
      <c r="O86" s="9" t="s">
        <v>1700</v>
      </c>
      <c r="P86" s="9" t="s">
        <v>1701</v>
      </c>
      <c r="Q86" s="9" t="s">
        <v>1702</v>
      </c>
      <c r="R86" s="9" t="s">
        <v>1703</v>
      </c>
      <c r="S86" s="9" t="s">
        <v>1704</v>
      </c>
      <c r="T86" s="9" t="s">
        <v>1705</v>
      </c>
      <c r="U86" s="9" t="s">
        <v>1706</v>
      </c>
      <c r="V86" s="9" t="s">
        <v>1707</v>
      </c>
      <c r="W86" s="9" t="s">
        <v>80</v>
      </c>
      <c r="X86" s="12">
        <v>57</v>
      </c>
      <c r="Y86" s="12">
        <v>120</v>
      </c>
      <c r="Z86" s="12">
        <v>125</v>
      </c>
      <c r="AA86" s="12">
        <v>4</v>
      </c>
      <c r="AB86" s="12">
        <v>160</v>
      </c>
      <c r="AC86" s="9" t="s">
        <v>114</v>
      </c>
      <c r="AD86" s="9" t="s">
        <v>115</v>
      </c>
      <c r="AE86" s="9" t="s">
        <v>116</v>
      </c>
      <c r="AF86" s="9" t="s">
        <v>1708</v>
      </c>
      <c r="AG86" s="9" t="s">
        <v>1709</v>
      </c>
      <c r="AH86" s="9" t="s">
        <v>86</v>
      </c>
      <c r="AI86" s="9" t="s">
        <v>1710</v>
      </c>
      <c r="AJ86" s="9" t="s">
        <v>1711</v>
      </c>
      <c r="AK86" s="9" t="s">
        <v>636</v>
      </c>
      <c r="AL86" s="12">
        <v>2016</v>
      </c>
      <c r="AM86" s="12">
        <v>119</v>
      </c>
      <c r="AN86" s="9" t="s">
        <v>86</v>
      </c>
      <c r="AO86" s="9" t="s">
        <v>86</v>
      </c>
      <c r="AP86" s="9" t="s">
        <v>86</v>
      </c>
      <c r="AQ86" s="9" t="s">
        <v>86</v>
      </c>
      <c r="AR86" s="9" t="s">
        <v>86</v>
      </c>
      <c r="AS86" s="12">
        <v>22</v>
      </c>
      <c r="AT86" s="12">
        <v>30</v>
      </c>
      <c r="AU86" s="9" t="s">
        <v>86</v>
      </c>
      <c r="AV86" s="9" t="s">
        <v>86</v>
      </c>
      <c r="AW86" s="9" t="s">
        <v>86</v>
      </c>
      <c r="AX86" s="12">
        <v>9</v>
      </c>
      <c r="AY86" s="9" t="s">
        <v>1712</v>
      </c>
      <c r="AZ86" s="9" t="s">
        <v>92</v>
      </c>
      <c r="BA86" s="9" t="s">
        <v>1713</v>
      </c>
      <c r="BB86" s="9" t="s">
        <v>1714</v>
      </c>
      <c r="BC86" s="12">
        <v>27187153</v>
      </c>
      <c r="BD86" s="9" t="s">
        <v>86</v>
      </c>
      <c r="BE86" s="9" t="s">
        <v>86</v>
      </c>
      <c r="BF86" s="9" t="s">
        <v>86</v>
      </c>
      <c r="BG86" s="9" t="s">
        <v>95</v>
      </c>
      <c r="BH86" s="9" t="s">
        <v>1715</v>
      </c>
      <c r="BI86" s="9" t="str">
        <f>HYPERLINK("https%3A%2F%2Fwww.webofscience.com%2Fwos%2Fwoscc%2Ffull-record%2FWOS:000381168000003","View Full Record in Web of Science")</f>
        <v>View Full Record in Web of Science</v>
      </c>
    </row>
    <row r="87" spans="1:61" customFormat="1" ht="12.75" x14ac:dyDescent="0.2">
      <c r="A87" s="1">
        <v>83</v>
      </c>
      <c r="B87" s="1" t="s">
        <v>1068</v>
      </c>
      <c r="C87" s="1" t="s">
        <v>1716</v>
      </c>
      <c r="D87" s="2" t="s">
        <v>1717</v>
      </c>
      <c r="E87" s="2" t="s">
        <v>1718</v>
      </c>
      <c r="F87" s="3" t="str">
        <f>HYPERLINK("http://dx.doi.org/10.1007/s41742-023-00514-0","http://dx.doi.org/10.1007/s41742-023-00514-0")</f>
        <v>http://dx.doi.org/10.1007/s41742-023-00514-0</v>
      </c>
      <c r="G87" s="2" t="s">
        <v>200</v>
      </c>
      <c r="H87" s="2" t="s">
        <v>1719</v>
      </c>
      <c r="I87" s="2" t="s">
        <v>1720</v>
      </c>
      <c r="J87" s="2" t="s">
        <v>1721</v>
      </c>
      <c r="K87" s="2" t="s">
        <v>68</v>
      </c>
      <c r="L87" s="2" t="s">
        <v>1722</v>
      </c>
      <c r="M87" s="2" t="s">
        <v>1723</v>
      </c>
      <c r="N87" s="2" t="s">
        <v>1724</v>
      </c>
      <c r="O87" s="2" t="s">
        <v>1233</v>
      </c>
      <c r="P87" s="2" t="s">
        <v>1725</v>
      </c>
      <c r="Q87" s="2" t="s">
        <v>1726</v>
      </c>
      <c r="R87" s="2" t="s">
        <v>86</v>
      </c>
      <c r="S87" s="2" t="s">
        <v>86</v>
      </c>
      <c r="T87" s="2" t="s">
        <v>86</v>
      </c>
      <c r="U87" s="2" t="s">
        <v>86</v>
      </c>
      <c r="V87" s="2" t="s">
        <v>86</v>
      </c>
      <c r="W87" s="2" t="s">
        <v>80</v>
      </c>
      <c r="X87" s="4">
        <v>54</v>
      </c>
      <c r="Y87" s="4">
        <v>0</v>
      </c>
      <c r="Z87" s="4">
        <v>0</v>
      </c>
      <c r="AA87" s="4">
        <v>28</v>
      </c>
      <c r="AB87" s="4">
        <v>28</v>
      </c>
      <c r="AC87" s="2" t="s">
        <v>1130</v>
      </c>
      <c r="AD87" s="2" t="s">
        <v>1131</v>
      </c>
      <c r="AE87" s="2" t="s">
        <v>1132</v>
      </c>
      <c r="AF87" s="2" t="s">
        <v>1727</v>
      </c>
      <c r="AG87" s="2" t="s">
        <v>1728</v>
      </c>
      <c r="AH87" s="2" t="s">
        <v>86</v>
      </c>
      <c r="AI87" s="2" t="s">
        <v>1729</v>
      </c>
      <c r="AJ87" s="2" t="s">
        <v>1730</v>
      </c>
      <c r="AK87" s="2" t="s">
        <v>89</v>
      </c>
      <c r="AL87" s="4">
        <v>2023</v>
      </c>
      <c r="AM87" s="4">
        <v>17</v>
      </c>
      <c r="AN87" s="4">
        <v>2</v>
      </c>
      <c r="AO87" s="2" t="s">
        <v>86</v>
      </c>
      <c r="AP87" s="2" t="s">
        <v>86</v>
      </c>
      <c r="AQ87" s="2" t="s">
        <v>86</v>
      </c>
      <c r="AR87" s="2" t="s">
        <v>86</v>
      </c>
      <c r="AS87" s="2" t="s">
        <v>86</v>
      </c>
      <c r="AT87" s="2" t="s">
        <v>86</v>
      </c>
      <c r="AU87" s="4">
        <v>25</v>
      </c>
      <c r="AV87" s="2" t="s">
        <v>86</v>
      </c>
      <c r="AW87" s="2" t="s">
        <v>86</v>
      </c>
      <c r="AX87" s="4">
        <v>11</v>
      </c>
      <c r="AY87" s="2" t="s">
        <v>91</v>
      </c>
      <c r="AZ87" s="2" t="s">
        <v>92</v>
      </c>
      <c r="BA87" s="2" t="s">
        <v>93</v>
      </c>
      <c r="BB87" s="2" t="s">
        <v>1731</v>
      </c>
      <c r="BC87" s="2" t="s">
        <v>86</v>
      </c>
      <c r="BD87" s="2" t="s">
        <v>86</v>
      </c>
      <c r="BE87" s="2" t="s">
        <v>86</v>
      </c>
      <c r="BF87" s="2" t="s">
        <v>86</v>
      </c>
      <c r="BG87" s="2" t="s">
        <v>95</v>
      </c>
      <c r="BH87" s="2" t="s">
        <v>1732</v>
      </c>
      <c r="BI87" s="2" t="str">
        <f>HYPERLINK("https%3A%2F%2Fwww.webofscience.com%2Fwos%2Fwoscc%2Ffull-record%2FWOS:000935925600001","View Full Record in Web of Science")</f>
        <v>View Full Record in Web of Science</v>
      </c>
    </row>
    <row r="88" spans="1:61" customFormat="1" ht="12.75" x14ac:dyDescent="0.2">
      <c r="A88" s="1">
        <v>84</v>
      </c>
      <c r="B88" s="1" t="s">
        <v>1068</v>
      </c>
      <c r="C88" s="1" t="s">
        <v>1733</v>
      </c>
      <c r="D88" s="2" t="s">
        <v>1734</v>
      </c>
      <c r="E88" s="2" t="s">
        <v>1735</v>
      </c>
      <c r="F88" s="3" t="str">
        <f>HYPERLINK("http://dx.doi.org/10.1016/j.marpolbul.2019.110776","http://dx.doi.org/10.1016/j.marpolbul.2019.110776")</f>
        <v>http://dx.doi.org/10.1016/j.marpolbul.2019.110776</v>
      </c>
      <c r="G88" s="2" t="s">
        <v>200</v>
      </c>
      <c r="H88" s="2" t="s">
        <v>1736</v>
      </c>
      <c r="I88" s="2" t="s">
        <v>1737</v>
      </c>
      <c r="J88" s="2" t="s">
        <v>424</v>
      </c>
      <c r="K88" s="2" t="s">
        <v>68</v>
      </c>
      <c r="L88" s="2" t="s">
        <v>1738</v>
      </c>
      <c r="M88" s="2" t="s">
        <v>1739</v>
      </c>
      <c r="N88" s="2" t="s">
        <v>1740</v>
      </c>
      <c r="O88" s="2" t="s">
        <v>1741</v>
      </c>
      <c r="P88" s="2" t="s">
        <v>1742</v>
      </c>
      <c r="Q88" s="2" t="s">
        <v>1319</v>
      </c>
      <c r="R88" s="2" t="s">
        <v>1743</v>
      </c>
      <c r="S88" s="2" t="s">
        <v>1744</v>
      </c>
      <c r="T88" s="2" t="s">
        <v>1745</v>
      </c>
      <c r="U88" s="2" t="s">
        <v>434</v>
      </c>
      <c r="V88" s="2" t="s">
        <v>1746</v>
      </c>
      <c r="W88" s="2" t="s">
        <v>80</v>
      </c>
      <c r="X88" s="4">
        <v>54</v>
      </c>
      <c r="Y88" s="4">
        <v>83</v>
      </c>
      <c r="Z88" s="4">
        <v>84</v>
      </c>
      <c r="AA88" s="4">
        <v>13</v>
      </c>
      <c r="AB88" s="4">
        <v>143</v>
      </c>
      <c r="AC88" s="2" t="s">
        <v>237</v>
      </c>
      <c r="AD88" s="2" t="s">
        <v>115</v>
      </c>
      <c r="AE88" s="2" t="s">
        <v>238</v>
      </c>
      <c r="AF88" s="2" t="s">
        <v>436</v>
      </c>
      <c r="AG88" s="2" t="s">
        <v>437</v>
      </c>
      <c r="AH88" s="2" t="s">
        <v>86</v>
      </c>
      <c r="AI88" s="2" t="s">
        <v>438</v>
      </c>
      <c r="AJ88" s="2" t="s">
        <v>439</v>
      </c>
      <c r="AK88" s="2" t="s">
        <v>534</v>
      </c>
      <c r="AL88" s="4">
        <v>2020</v>
      </c>
      <c r="AM88" s="4">
        <v>150</v>
      </c>
      <c r="AN88" s="2" t="s">
        <v>86</v>
      </c>
      <c r="AO88" s="2" t="s">
        <v>86</v>
      </c>
      <c r="AP88" s="2" t="s">
        <v>86</v>
      </c>
      <c r="AQ88" s="2" t="s">
        <v>86</v>
      </c>
      <c r="AR88" s="2" t="s">
        <v>86</v>
      </c>
      <c r="AS88" s="2" t="s">
        <v>86</v>
      </c>
      <c r="AT88" s="2" t="s">
        <v>86</v>
      </c>
      <c r="AU88" s="4">
        <v>110776</v>
      </c>
      <c r="AV88" s="2" t="s">
        <v>86</v>
      </c>
      <c r="AW88" s="2" t="s">
        <v>86</v>
      </c>
      <c r="AX88" s="4">
        <v>13</v>
      </c>
      <c r="AY88" s="2" t="s">
        <v>441</v>
      </c>
      <c r="AZ88" s="2" t="s">
        <v>92</v>
      </c>
      <c r="BA88" s="2" t="s">
        <v>442</v>
      </c>
      <c r="BB88" s="2" t="s">
        <v>1341</v>
      </c>
      <c r="BC88" s="4">
        <v>31785845</v>
      </c>
      <c r="BD88" s="2" t="s">
        <v>86</v>
      </c>
      <c r="BE88" s="2" t="s">
        <v>86</v>
      </c>
      <c r="BF88" s="2" t="s">
        <v>86</v>
      </c>
      <c r="BG88" s="2" t="s">
        <v>95</v>
      </c>
      <c r="BH88" s="2" t="s">
        <v>1747</v>
      </c>
      <c r="BI88" s="2" t="str">
        <f>HYPERLINK("https%3A%2F%2Fwww.webofscience.com%2Fwos%2Fwoscc%2Ffull-record%2FWOS:000509611200110","View Full Record in Web of Science")</f>
        <v>View Full Record in Web of Science</v>
      </c>
    </row>
    <row r="89" spans="1:61" customFormat="1" ht="12.75" x14ac:dyDescent="0.2">
      <c r="A89" s="1">
        <v>85</v>
      </c>
      <c r="B89" s="1" t="s">
        <v>1068</v>
      </c>
      <c r="C89" s="1" t="s">
        <v>1748</v>
      </c>
      <c r="D89" s="2" t="s">
        <v>1749</v>
      </c>
      <c r="E89" s="2" t="s">
        <v>1750</v>
      </c>
      <c r="F89" s="3" t="str">
        <f>HYPERLINK("http://dx.doi.org/10.1016/j.fbio.2020.100715","http://dx.doi.org/10.1016/j.fbio.2020.100715")</f>
        <v>http://dx.doi.org/10.1016/j.fbio.2020.100715</v>
      </c>
      <c r="G89" s="2" t="s">
        <v>200</v>
      </c>
      <c r="H89" s="2" t="s">
        <v>1751</v>
      </c>
      <c r="I89" s="2" t="s">
        <v>1752</v>
      </c>
      <c r="J89" s="2" t="s">
        <v>1753</v>
      </c>
      <c r="K89" s="2" t="s">
        <v>68</v>
      </c>
      <c r="L89" s="2" t="s">
        <v>1754</v>
      </c>
      <c r="M89" s="2" t="s">
        <v>1755</v>
      </c>
      <c r="N89" s="2" t="s">
        <v>1756</v>
      </c>
      <c r="O89" s="2" t="s">
        <v>1173</v>
      </c>
      <c r="P89" s="2" t="s">
        <v>73</v>
      </c>
      <c r="Q89" s="2" t="s">
        <v>74</v>
      </c>
      <c r="R89" s="2" t="s">
        <v>1175</v>
      </c>
      <c r="S89" s="2" t="s">
        <v>1176</v>
      </c>
      <c r="T89" s="2" t="s">
        <v>1757</v>
      </c>
      <c r="U89" s="2" t="s">
        <v>1757</v>
      </c>
      <c r="V89" s="2" t="s">
        <v>1758</v>
      </c>
      <c r="W89" s="2" t="s">
        <v>80</v>
      </c>
      <c r="X89" s="4">
        <v>47</v>
      </c>
      <c r="Y89" s="4">
        <v>27</v>
      </c>
      <c r="Z89" s="4">
        <v>27</v>
      </c>
      <c r="AA89" s="4">
        <v>5</v>
      </c>
      <c r="AB89" s="4">
        <v>53</v>
      </c>
      <c r="AC89" s="2" t="s">
        <v>585</v>
      </c>
      <c r="AD89" s="2" t="s">
        <v>586</v>
      </c>
      <c r="AE89" s="2" t="s">
        <v>587</v>
      </c>
      <c r="AF89" s="2" t="s">
        <v>1759</v>
      </c>
      <c r="AG89" s="2" t="s">
        <v>1760</v>
      </c>
      <c r="AH89" s="2" t="s">
        <v>86</v>
      </c>
      <c r="AI89" s="2" t="s">
        <v>1761</v>
      </c>
      <c r="AJ89" s="2" t="s">
        <v>1762</v>
      </c>
      <c r="AK89" s="2" t="s">
        <v>873</v>
      </c>
      <c r="AL89" s="4">
        <v>2020</v>
      </c>
      <c r="AM89" s="4">
        <v>37</v>
      </c>
      <c r="AN89" s="2" t="s">
        <v>86</v>
      </c>
      <c r="AO89" s="2" t="s">
        <v>86</v>
      </c>
      <c r="AP89" s="2" t="s">
        <v>86</v>
      </c>
      <c r="AQ89" s="2" t="s">
        <v>86</v>
      </c>
      <c r="AR89" s="2" t="s">
        <v>86</v>
      </c>
      <c r="AS89" s="2" t="s">
        <v>86</v>
      </c>
      <c r="AT89" s="2" t="s">
        <v>86</v>
      </c>
      <c r="AU89" s="4">
        <v>100715</v>
      </c>
      <c r="AV89" s="2" t="s">
        <v>86</v>
      </c>
      <c r="AW89" s="2" t="s">
        <v>86</v>
      </c>
      <c r="AX89" s="4">
        <v>9</v>
      </c>
      <c r="AY89" s="2" t="s">
        <v>965</v>
      </c>
      <c r="AZ89" s="2" t="s">
        <v>92</v>
      </c>
      <c r="BA89" s="2" t="s">
        <v>965</v>
      </c>
      <c r="BB89" s="2" t="s">
        <v>1763</v>
      </c>
      <c r="BC89" s="2" t="s">
        <v>86</v>
      </c>
      <c r="BD89" s="2" t="s">
        <v>86</v>
      </c>
      <c r="BE89" s="2" t="s">
        <v>86</v>
      </c>
      <c r="BF89" s="2" t="s">
        <v>86</v>
      </c>
      <c r="BG89" s="2" t="s">
        <v>95</v>
      </c>
      <c r="BH89" s="2" t="s">
        <v>1764</v>
      </c>
      <c r="BI89" s="2" t="str">
        <f>HYPERLINK("https%3A%2F%2Fwww.webofscience.com%2Fwos%2Fwoscc%2Ffull-record%2FWOS:000573273900008","View Full Record in Web of Science")</f>
        <v>View Full Record in Web of Science</v>
      </c>
    </row>
    <row r="90" spans="1:61" ht="12.75" x14ac:dyDescent="0.2">
      <c r="A90" s="8">
        <v>86</v>
      </c>
      <c r="B90" s="8" t="s">
        <v>1049</v>
      </c>
      <c r="C90" s="8" t="s">
        <v>1765</v>
      </c>
      <c r="D90" s="9" t="s">
        <v>1766</v>
      </c>
      <c r="E90" s="9" t="s">
        <v>1767</v>
      </c>
      <c r="F90" s="11" t="str">
        <f>HYPERLINK("http://dx.doi.org/10.1016/j.marpolbul.2021.113117","http://dx.doi.org/10.1016/j.marpolbul.2021.113117")</f>
        <v>http://dx.doi.org/10.1016/j.marpolbul.2021.113117</v>
      </c>
      <c r="G90" s="9" t="s">
        <v>200</v>
      </c>
      <c r="H90" s="9" t="s">
        <v>1768</v>
      </c>
      <c r="I90" s="9" t="s">
        <v>1769</v>
      </c>
      <c r="J90" s="9" t="s">
        <v>424</v>
      </c>
      <c r="K90" s="9" t="s">
        <v>68</v>
      </c>
      <c r="L90" s="9" t="s">
        <v>1770</v>
      </c>
      <c r="M90" s="9" t="s">
        <v>1771</v>
      </c>
      <c r="N90" s="9" t="s">
        <v>1772</v>
      </c>
      <c r="O90" s="9" t="s">
        <v>1773</v>
      </c>
      <c r="P90" s="9" t="s">
        <v>1774</v>
      </c>
      <c r="Q90" s="9" t="s">
        <v>1775</v>
      </c>
      <c r="R90" s="9" t="s">
        <v>1776</v>
      </c>
      <c r="S90" s="9" t="s">
        <v>1777</v>
      </c>
      <c r="T90" s="9" t="s">
        <v>1778</v>
      </c>
      <c r="U90" s="9" t="s">
        <v>1779</v>
      </c>
      <c r="V90" s="9" t="s">
        <v>1780</v>
      </c>
      <c r="W90" s="9" t="s">
        <v>80</v>
      </c>
      <c r="X90" s="12">
        <v>55</v>
      </c>
      <c r="Y90" s="12">
        <v>8</v>
      </c>
      <c r="Z90" s="12">
        <v>8</v>
      </c>
      <c r="AA90" s="12">
        <v>7</v>
      </c>
      <c r="AB90" s="12">
        <v>41</v>
      </c>
      <c r="AC90" s="9" t="s">
        <v>237</v>
      </c>
      <c r="AD90" s="9" t="s">
        <v>115</v>
      </c>
      <c r="AE90" s="9" t="s">
        <v>238</v>
      </c>
      <c r="AF90" s="9" t="s">
        <v>436</v>
      </c>
      <c r="AG90" s="9" t="s">
        <v>437</v>
      </c>
      <c r="AH90" s="9" t="s">
        <v>86</v>
      </c>
      <c r="AI90" s="9" t="s">
        <v>438</v>
      </c>
      <c r="AJ90" s="9" t="s">
        <v>439</v>
      </c>
      <c r="AK90" s="9" t="s">
        <v>217</v>
      </c>
      <c r="AL90" s="12">
        <v>2021</v>
      </c>
      <c r="AM90" s="12">
        <v>173</v>
      </c>
      <c r="AN90" s="9" t="s">
        <v>86</v>
      </c>
      <c r="AO90" s="9" t="s">
        <v>188</v>
      </c>
      <c r="AP90" s="9" t="s">
        <v>86</v>
      </c>
      <c r="AQ90" s="9" t="s">
        <v>86</v>
      </c>
      <c r="AR90" s="9" t="s">
        <v>86</v>
      </c>
      <c r="AS90" s="9" t="s">
        <v>86</v>
      </c>
      <c r="AT90" s="9" t="s">
        <v>86</v>
      </c>
      <c r="AU90" s="12">
        <v>113117</v>
      </c>
      <c r="AV90" s="9" t="s">
        <v>86</v>
      </c>
      <c r="AW90" s="9" t="s">
        <v>1781</v>
      </c>
      <c r="AX90" s="12">
        <v>9</v>
      </c>
      <c r="AY90" s="9" t="s">
        <v>441</v>
      </c>
      <c r="AZ90" s="9" t="s">
        <v>92</v>
      </c>
      <c r="BA90" s="9" t="s">
        <v>442</v>
      </c>
      <c r="BB90" s="9" t="s">
        <v>1782</v>
      </c>
      <c r="BC90" s="12">
        <v>34768196</v>
      </c>
      <c r="BD90" s="9" t="s">
        <v>86</v>
      </c>
      <c r="BE90" s="9" t="s">
        <v>86</v>
      </c>
      <c r="BF90" s="9" t="s">
        <v>86</v>
      </c>
      <c r="BG90" s="9" t="s">
        <v>95</v>
      </c>
      <c r="BH90" s="9" t="s">
        <v>1783</v>
      </c>
      <c r="BI90" s="9" t="str">
        <f>HYPERLINK("https%3A%2F%2Fwww.webofscience.com%2Fwos%2Fwoscc%2Ffull-record%2FWOS:000719792800002","View Full Record in Web of Science")</f>
        <v>View Full Record in Web of Science</v>
      </c>
    </row>
    <row r="91" spans="1:61" ht="12.75" x14ac:dyDescent="0.2">
      <c r="A91" s="8">
        <v>87</v>
      </c>
      <c r="B91" s="8" t="s">
        <v>1049</v>
      </c>
      <c r="C91" s="8" t="s">
        <v>1784</v>
      </c>
      <c r="D91" s="9" t="s">
        <v>1785</v>
      </c>
      <c r="E91" s="9" t="s">
        <v>1786</v>
      </c>
      <c r="F91" s="11" t="str">
        <f>HYPERLINK("http://dx.doi.org/10.1016/j.marpolbul.2018.06.054","http://dx.doi.org/10.1016/j.marpolbul.2018.06.054")</f>
        <v>http://dx.doi.org/10.1016/j.marpolbul.2018.06.054</v>
      </c>
      <c r="G91" s="9" t="s">
        <v>200</v>
      </c>
      <c r="H91" s="9" t="s">
        <v>1787</v>
      </c>
      <c r="I91" s="9" t="s">
        <v>1788</v>
      </c>
      <c r="J91" s="9" t="s">
        <v>424</v>
      </c>
      <c r="K91" s="9" t="s">
        <v>68</v>
      </c>
      <c r="L91" s="9" t="s">
        <v>1789</v>
      </c>
      <c r="M91" s="9" t="s">
        <v>1790</v>
      </c>
      <c r="N91" s="9" t="s">
        <v>1791</v>
      </c>
      <c r="O91" s="9" t="s">
        <v>1792</v>
      </c>
      <c r="P91" s="9" t="s">
        <v>1793</v>
      </c>
      <c r="Q91" s="9" t="s">
        <v>1794</v>
      </c>
      <c r="R91" s="9" t="s">
        <v>1795</v>
      </c>
      <c r="S91" s="9" t="s">
        <v>1796</v>
      </c>
      <c r="T91" s="9" t="s">
        <v>1797</v>
      </c>
      <c r="U91" s="9" t="s">
        <v>1797</v>
      </c>
      <c r="V91" s="9" t="s">
        <v>1798</v>
      </c>
      <c r="W91" s="9" t="s">
        <v>80</v>
      </c>
      <c r="X91" s="12">
        <v>26</v>
      </c>
      <c r="Y91" s="12">
        <v>44</v>
      </c>
      <c r="Z91" s="12">
        <v>46</v>
      </c>
      <c r="AA91" s="12">
        <v>1</v>
      </c>
      <c r="AB91" s="12">
        <v>65</v>
      </c>
      <c r="AC91" s="9" t="s">
        <v>237</v>
      </c>
      <c r="AD91" s="9" t="s">
        <v>115</v>
      </c>
      <c r="AE91" s="9" t="s">
        <v>238</v>
      </c>
      <c r="AF91" s="9" t="s">
        <v>436</v>
      </c>
      <c r="AG91" s="9" t="s">
        <v>437</v>
      </c>
      <c r="AH91" s="9" t="s">
        <v>86</v>
      </c>
      <c r="AI91" s="9" t="s">
        <v>438</v>
      </c>
      <c r="AJ91" s="9" t="s">
        <v>439</v>
      </c>
      <c r="AK91" s="9" t="s">
        <v>873</v>
      </c>
      <c r="AL91" s="12">
        <v>2018</v>
      </c>
      <c r="AM91" s="12">
        <v>135</v>
      </c>
      <c r="AN91" s="9" t="s">
        <v>86</v>
      </c>
      <c r="AO91" s="9" t="s">
        <v>86</v>
      </c>
      <c r="AP91" s="9" t="s">
        <v>86</v>
      </c>
      <c r="AQ91" s="9" t="s">
        <v>86</v>
      </c>
      <c r="AR91" s="9" t="s">
        <v>86</v>
      </c>
      <c r="AS91" s="12">
        <v>283</v>
      </c>
      <c r="AT91" s="12">
        <v>289</v>
      </c>
      <c r="AU91" s="9" t="s">
        <v>86</v>
      </c>
      <c r="AV91" s="9" t="s">
        <v>86</v>
      </c>
      <c r="AW91" s="9" t="s">
        <v>86</v>
      </c>
      <c r="AX91" s="12">
        <v>7</v>
      </c>
      <c r="AY91" s="9" t="s">
        <v>441</v>
      </c>
      <c r="AZ91" s="9" t="s">
        <v>92</v>
      </c>
      <c r="BA91" s="9" t="s">
        <v>442</v>
      </c>
      <c r="BB91" s="9" t="s">
        <v>1799</v>
      </c>
      <c r="BC91" s="12">
        <v>30301039</v>
      </c>
      <c r="BD91" s="9" t="s">
        <v>86</v>
      </c>
      <c r="BE91" s="9" t="s">
        <v>86</v>
      </c>
      <c r="BF91" s="9" t="s">
        <v>86</v>
      </c>
      <c r="BG91" s="9" t="s">
        <v>95</v>
      </c>
      <c r="BH91" s="9" t="s">
        <v>1800</v>
      </c>
      <c r="BI91" s="9" t="str">
        <f>HYPERLINK("https%3A%2F%2Fwww.webofscience.com%2Fwos%2Fwoscc%2Ffull-record%2FWOS:000448094200033","View Full Record in Web of Science")</f>
        <v>View Full Record in Web of Science</v>
      </c>
    </row>
    <row r="92" spans="1:61" ht="12.75" x14ac:dyDescent="0.2">
      <c r="A92" s="8">
        <v>88</v>
      </c>
      <c r="B92" s="8" t="s">
        <v>1049</v>
      </c>
      <c r="C92" s="8" t="s">
        <v>1801</v>
      </c>
      <c r="D92" s="9" t="s">
        <v>1802</v>
      </c>
      <c r="E92" s="9" t="s">
        <v>1803</v>
      </c>
      <c r="F92" s="11" t="str">
        <f>HYPERLINK("http://dx.doi.org/10.1016/j.marpolbul.2023.114722","http://dx.doi.org/10.1016/j.marpolbul.2023.114722")</f>
        <v>http://dx.doi.org/10.1016/j.marpolbul.2023.114722</v>
      </c>
      <c r="G92" s="9" t="s">
        <v>200</v>
      </c>
      <c r="H92" s="9" t="s">
        <v>1804</v>
      </c>
      <c r="I92" s="9" t="s">
        <v>1805</v>
      </c>
      <c r="J92" s="9" t="s">
        <v>424</v>
      </c>
      <c r="K92" s="9" t="s">
        <v>68</v>
      </c>
      <c r="L92" s="9" t="s">
        <v>1806</v>
      </c>
      <c r="M92" s="9" t="s">
        <v>1807</v>
      </c>
      <c r="N92" s="9" t="s">
        <v>1808</v>
      </c>
      <c r="O92" s="9" t="s">
        <v>1809</v>
      </c>
      <c r="P92" s="9" t="s">
        <v>1810</v>
      </c>
      <c r="Q92" s="9" t="s">
        <v>1811</v>
      </c>
      <c r="R92" s="9" t="s">
        <v>1812</v>
      </c>
      <c r="S92" s="9" t="s">
        <v>1813</v>
      </c>
      <c r="T92" s="9" t="s">
        <v>86</v>
      </c>
      <c r="U92" s="9" t="s">
        <v>86</v>
      </c>
      <c r="V92" s="9" t="s">
        <v>86</v>
      </c>
      <c r="W92" s="9" t="s">
        <v>80</v>
      </c>
      <c r="X92" s="12">
        <v>63</v>
      </c>
      <c r="Y92" s="12">
        <v>1</v>
      </c>
      <c r="Z92" s="12">
        <v>1</v>
      </c>
      <c r="AA92" s="12">
        <v>12</v>
      </c>
      <c r="AB92" s="12">
        <v>12</v>
      </c>
      <c r="AC92" s="9" t="s">
        <v>237</v>
      </c>
      <c r="AD92" s="9" t="s">
        <v>115</v>
      </c>
      <c r="AE92" s="9" t="s">
        <v>238</v>
      </c>
      <c r="AF92" s="9" t="s">
        <v>436</v>
      </c>
      <c r="AG92" s="9" t="s">
        <v>437</v>
      </c>
      <c r="AH92" s="9" t="s">
        <v>86</v>
      </c>
      <c r="AI92" s="9" t="s">
        <v>438</v>
      </c>
      <c r="AJ92" s="9" t="s">
        <v>439</v>
      </c>
      <c r="AK92" s="9" t="s">
        <v>366</v>
      </c>
      <c r="AL92" s="12">
        <v>2023</v>
      </c>
      <c r="AM92" s="12">
        <v>188</v>
      </c>
      <c r="AN92" s="9" t="s">
        <v>86</v>
      </c>
      <c r="AO92" s="9" t="s">
        <v>86</v>
      </c>
      <c r="AP92" s="9" t="s">
        <v>86</v>
      </c>
      <c r="AQ92" s="9" t="s">
        <v>86</v>
      </c>
      <c r="AR92" s="9" t="s">
        <v>86</v>
      </c>
      <c r="AS92" s="9" t="s">
        <v>86</v>
      </c>
      <c r="AT92" s="9" t="s">
        <v>86</v>
      </c>
      <c r="AU92" s="12">
        <v>114722</v>
      </c>
      <c r="AV92" s="9" t="s">
        <v>86</v>
      </c>
      <c r="AW92" s="9" t="s">
        <v>1440</v>
      </c>
      <c r="AX92" s="12">
        <v>10</v>
      </c>
      <c r="AY92" s="9" t="s">
        <v>441</v>
      </c>
      <c r="AZ92" s="9" t="s">
        <v>92</v>
      </c>
      <c r="BA92" s="9" t="s">
        <v>442</v>
      </c>
      <c r="BB92" s="9" t="s">
        <v>1814</v>
      </c>
      <c r="BC92" s="12">
        <v>36860017</v>
      </c>
      <c r="BD92" s="9" t="s">
        <v>86</v>
      </c>
      <c r="BE92" s="9" t="s">
        <v>86</v>
      </c>
      <c r="BF92" s="9" t="s">
        <v>86</v>
      </c>
      <c r="BG92" s="9" t="s">
        <v>95</v>
      </c>
      <c r="BH92" s="9" t="s">
        <v>1815</v>
      </c>
      <c r="BI92" s="9" t="str">
        <f>HYPERLINK("https%3A%2F%2Fwww.webofscience.com%2Fwos%2Fwoscc%2Ffull-record%2FWOS:000946671300001","View Full Record in Web of Science")</f>
        <v>View Full Record in Web of Science</v>
      </c>
    </row>
    <row r="93" spans="1:61" customFormat="1" ht="12.75" x14ac:dyDescent="0.2">
      <c r="A93" s="1">
        <v>89</v>
      </c>
      <c r="B93" s="1" t="s">
        <v>1068</v>
      </c>
      <c r="C93" s="1" t="s">
        <v>1816</v>
      </c>
      <c r="D93" s="2" t="s">
        <v>1817</v>
      </c>
      <c r="E93" s="2" t="s">
        <v>1818</v>
      </c>
      <c r="F93" s="3" t="str">
        <f>HYPERLINK("http://dx.doi.org/10.1016/j.envpol.2022.120922","http://dx.doi.org/10.1016/j.envpol.2022.120922")</f>
        <v>http://dx.doi.org/10.1016/j.envpol.2022.120922</v>
      </c>
      <c r="G93" s="2" t="s">
        <v>200</v>
      </c>
      <c r="H93" s="2" t="s">
        <v>1819</v>
      </c>
      <c r="I93" s="2" t="s">
        <v>1820</v>
      </c>
      <c r="J93" s="2" t="s">
        <v>102</v>
      </c>
      <c r="K93" s="2" t="s">
        <v>68</v>
      </c>
      <c r="L93" s="2" t="s">
        <v>1821</v>
      </c>
      <c r="M93" s="2" t="s">
        <v>1822</v>
      </c>
      <c r="N93" s="2" t="s">
        <v>1823</v>
      </c>
      <c r="O93" s="2" t="s">
        <v>580</v>
      </c>
      <c r="P93" s="2" t="s">
        <v>1824</v>
      </c>
      <c r="Q93" s="2" t="s">
        <v>1825</v>
      </c>
      <c r="R93" s="2" t="s">
        <v>1826</v>
      </c>
      <c r="S93" s="2" t="s">
        <v>1827</v>
      </c>
      <c r="T93" s="2" t="s">
        <v>1828</v>
      </c>
      <c r="U93" s="2" t="s">
        <v>1829</v>
      </c>
      <c r="V93" s="2" t="s">
        <v>1830</v>
      </c>
      <c r="W93" s="2" t="s">
        <v>80</v>
      </c>
      <c r="X93" s="4">
        <v>147</v>
      </c>
      <c r="Y93" s="4">
        <v>3</v>
      </c>
      <c r="Z93" s="4">
        <v>3</v>
      </c>
      <c r="AA93" s="4">
        <v>26</v>
      </c>
      <c r="AB93" s="4">
        <v>29</v>
      </c>
      <c r="AC93" s="2" t="s">
        <v>114</v>
      </c>
      <c r="AD93" s="2" t="s">
        <v>115</v>
      </c>
      <c r="AE93" s="2" t="s">
        <v>116</v>
      </c>
      <c r="AF93" s="2" t="s">
        <v>117</v>
      </c>
      <c r="AG93" s="2" t="s">
        <v>118</v>
      </c>
      <c r="AH93" s="2" t="s">
        <v>86</v>
      </c>
      <c r="AI93" s="2" t="s">
        <v>119</v>
      </c>
      <c r="AJ93" s="2" t="s">
        <v>120</v>
      </c>
      <c r="AK93" s="2" t="s">
        <v>611</v>
      </c>
      <c r="AL93" s="4">
        <v>2023</v>
      </c>
      <c r="AM93" s="4">
        <v>318</v>
      </c>
      <c r="AN93" s="2" t="s">
        <v>86</v>
      </c>
      <c r="AO93" s="2" t="s">
        <v>86</v>
      </c>
      <c r="AP93" s="2" t="s">
        <v>86</v>
      </c>
      <c r="AQ93" s="2" t="s">
        <v>86</v>
      </c>
      <c r="AR93" s="2" t="s">
        <v>86</v>
      </c>
      <c r="AS93" s="2" t="s">
        <v>86</v>
      </c>
      <c r="AT93" s="2" t="s">
        <v>86</v>
      </c>
      <c r="AU93" s="4">
        <v>120922</v>
      </c>
      <c r="AV93" s="2" t="s">
        <v>86</v>
      </c>
      <c r="AW93" s="2" t="s">
        <v>391</v>
      </c>
      <c r="AX93" s="4">
        <v>12</v>
      </c>
      <c r="AY93" s="2" t="s">
        <v>91</v>
      </c>
      <c r="AZ93" s="2" t="s">
        <v>92</v>
      </c>
      <c r="BA93" s="2" t="s">
        <v>93</v>
      </c>
      <c r="BB93" s="2" t="s">
        <v>1831</v>
      </c>
      <c r="BC93" s="4">
        <v>36574808</v>
      </c>
      <c r="BD93" s="2" t="s">
        <v>86</v>
      </c>
      <c r="BE93" s="2" t="s">
        <v>86</v>
      </c>
      <c r="BF93" s="2" t="s">
        <v>86</v>
      </c>
      <c r="BG93" s="2" t="s">
        <v>95</v>
      </c>
      <c r="BH93" s="2" t="s">
        <v>1832</v>
      </c>
      <c r="BI93" s="2" t="str">
        <f>HYPERLINK("https%3A%2F%2Fwww.webofscience.com%2Fwos%2Fwoscc%2Ffull-record%2FWOS:000913988800001","View Full Record in Web of Science")</f>
        <v>View Full Record in Web of Science</v>
      </c>
    </row>
    <row r="94" spans="1:61" ht="12.75" x14ac:dyDescent="0.2">
      <c r="A94" s="8">
        <v>90</v>
      </c>
      <c r="B94" s="8" t="s">
        <v>1049</v>
      </c>
      <c r="C94" s="8" t="s">
        <v>1833</v>
      </c>
      <c r="D94" s="9" t="s">
        <v>1834</v>
      </c>
      <c r="E94" s="9" t="s">
        <v>1835</v>
      </c>
      <c r="F94" s="11" t="str">
        <f>HYPERLINK("http://dx.doi.org/10.1016/j.envpol.2018.04.042","http://dx.doi.org/10.1016/j.envpol.2018.04.042")</f>
        <v>http://dx.doi.org/10.1016/j.envpol.2018.04.042</v>
      </c>
      <c r="G94" s="9" t="s">
        <v>200</v>
      </c>
      <c r="H94" s="9" t="s">
        <v>1836</v>
      </c>
      <c r="I94" s="9" t="s">
        <v>1837</v>
      </c>
      <c r="J94" s="9" t="s">
        <v>102</v>
      </c>
      <c r="K94" s="9" t="s">
        <v>68</v>
      </c>
      <c r="L94" s="9" t="s">
        <v>1838</v>
      </c>
      <c r="M94" s="9" t="s">
        <v>1839</v>
      </c>
      <c r="N94" s="9" t="s">
        <v>1840</v>
      </c>
      <c r="O94" s="9" t="s">
        <v>1841</v>
      </c>
      <c r="P94" s="9" t="s">
        <v>73</v>
      </c>
      <c r="Q94" s="9" t="s">
        <v>74</v>
      </c>
      <c r="R94" s="9" t="s">
        <v>1842</v>
      </c>
      <c r="S94" s="9" t="s">
        <v>1843</v>
      </c>
      <c r="T94" s="9" t="s">
        <v>86</v>
      </c>
      <c r="U94" s="9" t="s">
        <v>86</v>
      </c>
      <c r="V94" s="9" t="s">
        <v>86</v>
      </c>
      <c r="W94" s="9" t="s">
        <v>80</v>
      </c>
      <c r="X94" s="12">
        <v>43</v>
      </c>
      <c r="Y94" s="12">
        <v>95</v>
      </c>
      <c r="Z94" s="12">
        <v>96</v>
      </c>
      <c r="AA94" s="12">
        <v>3</v>
      </c>
      <c r="AB94" s="12">
        <v>124</v>
      </c>
      <c r="AC94" s="9" t="s">
        <v>114</v>
      </c>
      <c r="AD94" s="9" t="s">
        <v>115</v>
      </c>
      <c r="AE94" s="9" t="s">
        <v>116</v>
      </c>
      <c r="AF94" s="9" t="s">
        <v>117</v>
      </c>
      <c r="AG94" s="9" t="s">
        <v>118</v>
      </c>
      <c r="AH94" s="9" t="s">
        <v>86</v>
      </c>
      <c r="AI94" s="9" t="s">
        <v>119</v>
      </c>
      <c r="AJ94" s="9" t="s">
        <v>120</v>
      </c>
      <c r="AK94" s="9" t="s">
        <v>636</v>
      </c>
      <c r="AL94" s="12">
        <v>2018</v>
      </c>
      <c r="AM94" s="12">
        <v>239</v>
      </c>
      <c r="AN94" s="9" t="s">
        <v>86</v>
      </c>
      <c r="AO94" s="9" t="s">
        <v>86</v>
      </c>
      <c r="AP94" s="9" t="s">
        <v>86</v>
      </c>
      <c r="AQ94" s="9" t="s">
        <v>86</v>
      </c>
      <c r="AR94" s="9" t="s">
        <v>86</v>
      </c>
      <c r="AS94" s="12">
        <v>342</v>
      </c>
      <c r="AT94" s="12">
        <v>350</v>
      </c>
      <c r="AU94" s="9" t="s">
        <v>86</v>
      </c>
      <c r="AV94" s="9" t="s">
        <v>86</v>
      </c>
      <c r="AW94" s="9" t="s">
        <v>86</v>
      </c>
      <c r="AX94" s="12">
        <v>9</v>
      </c>
      <c r="AY94" s="9" t="s">
        <v>91</v>
      </c>
      <c r="AZ94" s="9" t="s">
        <v>92</v>
      </c>
      <c r="BA94" s="9" t="s">
        <v>93</v>
      </c>
      <c r="BB94" s="9" t="s">
        <v>1844</v>
      </c>
      <c r="BC94" s="12">
        <v>29674212</v>
      </c>
      <c r="BD94" s="9" t="s">
        <v>86</v>
      </c>
      <c r="BE94" s="9" t="s">
        <v>86</v>
      </c>
      <c r="BF94" s="9" t="s">
        <v>86</v>
      </c>
      <c r="BG94" s="9" t="s">
        <v>95</v>
      </c>
      <c r="BH94" s="9" t="s">
        <v>1845</v>
      </c>
      <c r="BI94" s="9" t="str">
        <f>HYPERLINK("https%3A%2F%2Fwww.webofscience.com%2Fwos%2Fwoscc%2Ffull-record%2FWOS:000434744800034","View Full Record in Web of Science")</f>
        <v>View Full Record in Web of Science</v>
      </c>
    </row>
    <row r="95" spans="1:61" ht="12.75" x14ac:dyDescent="0.2">
      <c r="A95" s="8">
        <v>91</v>
      </c>
      <c r="B95" s="8" t="s">
        <v>1049</v>
      </c>
      <c r="C95" s="8" t="s">
        <v>1846</v>
      </c>
      <c r="D95" s="9" t="s">
        <v>1847</v>
      </c>
      <c r="E95" s="9" t="s">
        <v>1848</v>
      </c>
      <c r="F95" s="11" t="str">
        <f>HYPERLINK("http://dx.doi.org/10.1080/02757540.2021.2022126","http://dx.doi.org/10.1080/02757540.2021.2022126")</f>
        <v>http://dx.doi.org/10.1080/02757540.2021.2022126</v>
      </c>
      <c r="G95" s="9" t="s">
        <v>200</v>
      </c>
      <c r="H95" s="9" t="s">
        <v>1849</v>
      </c>
      <c r="I95" s="9" t="s">
        <v>1850</v>
      </c>
      <c r="J95" s="9" t="s">
        <v>277</v>
      </c>
      <c r="K95" s="9" t="s">
        <v>68</v>
      </c>
      <c r="L95" s="9" t="s">
        <v>1851</v>
      </c>
      <c r="M95" s="9" t="s">
        <v>1852</v>
      </c>
      <c r="N95" s="9" t="s">
        <v>1853</v>
      </c>
      <c r="O95" s="9" t="s">
        <v>1854</v>
      </c>
      <c r="P95" s="9" t="s">
        <v>1855</v>
      </c>
      <c r="Q95" s="9" t="s">
        <v>1152</v>
      </c>
      <c r="R95" s="9" t="s">
        <v>1153</v>
      </c>
      <c r="S95" s="9" t="s">
        <v>1856</v>
      </c>
      <c r="T95" s="9" t="s">
        <v>1857</v>
      </c>
      <c r="U95" s="9" t="s">
        <v>1858</v>
      </c>
      <c r="V95" s="9" t="s">
        <v>1859</v>
      </c>
      <c r="W95" s="9" t="s">
        <v>80</v>
      </c>
      <c r="X95" s="12">
        <v>64</v>
      </c>
      <c r="Y95" s="12">
        <v>5</v>
      </c>
      <c r="Z95" s="12">
        <v>5</v>
      </c>
      <c r="AA95" s="12">
        <v>5</v>
      </c>
      <c r="AB95" s="12">
        <v>27</v>
      </c>
      <c r="AC95" s="9" t="s">
        <v>286</v>
      </c>
      <c r="AD95" s="9" t="s">
        <v>287</v>
      </c>
      <c r="AE95" s="9" t="s">
        <v>288</v>
      </c>
      <c r="AF95" s="9" t="s">
        <v>289</v>
      </c>
      <c r="AG95" s="9" t="s">
        <v>290</v>
      </c>
      <c r="AH95" s="9" t="s">
        <v>86</v>
      </c>
      <c r="AI95" s="9" t="s">
        <v>291</v>
      </c>
      <c r="AJ95" s="9" t="s">
        <v>292</v>
      </c>
      <c r="AK95" s="9" t="s">
        <v>1860</v>
      </c>
      <c r="AL95" s="12">
        <v>2022</v>
      </c>
      <c r="AM95" s="12">
        <v>38</v>
      </c>
      <c r="AN95" s="12">
        <v>1</v>
      </c>
      <c r="AO95" s="9" t="s">
        <v>86</v>
      </c>
      <c r="AP95" s="9" t="s">
        <v>86</v>
      </c>
      <c r="AQ95" s="9" t="s">
        <v>86</v>
      </c>
      <c r="AR95" s="9" t="s">
        <v>86</v>
      </c>
      <c r="AS95" s="12">
        <v>1</v>
      </c>
      <c r="AT95" s="12">
        <v>16</v>
      </c>
      <c r="AU95" s="9" t="s">
        <v>86</v>
      </c>
      <c r="AV95" s="9" t="s">
        <v>86</v>
      </c>
      <c r="AW95" s="9" t="s">
        <v>90</v>
      </c>
      <c r="AX95" s="12">
        <v>16</v>
      </c>
      <c r="AY95" s="9" t="s">
        <v>295</v>
      </c>
      <c r="AZ95" s="9" t="s">
        <v>92</v>
      </c>
      <c r="BA95" s="9" t="s">
        <v>296</v>
      </c>
      <c r="BB95" s="9" t="s">
        <v>1861</v>
      </c>
      <c r="BC95" s="9" t="s">
        <v>86</v>
      </c>
      <c r="BD95" s="9" t="s">
        <v>86</v>
      </c>
      <c r="BE95" s="9" t="s">
        <v>86</v>
      </c>
      <c r="BF95" s="9" t="s">
        <v>86</v>
      </c>
      <c r="BG95" s="9" t="s">
        <v>95</v>
      </c>
      <c r="BH95" s="9" t="s">
        <v>1862</v>
      </c>
      <c r="BI95" s="9" t="str">
        <f>HYPERLINK("https%3A%2F%2Fwww.webofscience.com%2Fwos%2Fwoscc%2Ffull-record%2FWOS:000739162900001","View Full Record in Web of Science")</f>
        <v>View Full Record in Web of Science</v>
      </c>
    </row>
    <row r="96" spans="1:61" customFormat="1" ht="12.75" x14ac:dyDescent="0.2">
      <c r="A96" s="1">
        <v>92</v>
      </c>
      <c r="B96" s="1" t="s">
        <v>1068</v>
      </c>
      <c r="C96" s="1" t="s">
        <v>1863</v>
      </c>
      <c r="D96" s="2" t="s">
        <v>1864</v>
      </c>
      <c r="E96" s="2" t="s">
        <v>1865</v>
      </c>
      <c r="F96" s="3" t="str">
        <f>HYPERLINK("http://dx.doi.org/10.9775/kvfd.2022.27871","http://dx.doi.org/10.9775/kvfd.2022.27871")</f>
        <v>http://dx.doi.org/10.9775/kvfd.2022.27871</v>
      </c>
      <c r="G96" s="2" t="s">
        <v>200</v>
      </c>
      <c r="H96" s="2" t="s">
        <v>1866</v>
      </c>
      <c r="I96" s="2" t="s">
        <v>1867</v>
      </c>
      <c r="J96" s="2" t="s">
        <v>1868</v>
      </c>
      <c r="K96" s="2" t="s">
        <v>68</v>
      </c>
      <c r="L96" s="2" t="s">
        <v>1869</v>
      </c>
      <c r="M96" s="2" t="s">
        <v>1870</v>
      </c>
      <c r="N96" s="2" t="s">
        <v>1871</v>
      </c>
      <c r="O96" s="2" t="s">
        <v>1502</v>
      </c>
      <c r="P96" s="2" t="s">
        <v>1872</v>
      </c>
      <c r="Q96" s="2" t="s">
        <v>1504</v>
      </c>
      <c r="R96" s="2" t="s">
        <v>1505</v>
      </c>
      <c r="S96" s="2" t="s">
        <v>1506</v>
      </c>
      <c r="T96" s="2" t="s">
        <v>86</v>
      </c>
      <c r="U96" s="2" t="s">
        <v>86</v>
      </c>
      <c r="V96" s="2" t="s">
        <v>86</v>
      </c>
      <c r="W96" s="2" t="s">
        <v>80</v>
      </c>
      <c r="X96" s="4">
        <v>45</v>
      </c>
      <c r="Y96" s="4">
        <v>0</v>
      </c>
      <c r="Z96" s="4">
        <v>0</v>
      </c>
      <c r="AA96" s="4">
        <v>8</v>
      </c>
      <c r="AB96" s="4">
        <v>13</v>
      </c>
      <c r="AC96" s="2" t="s">
        <v>1873</v>
      </c>
      <c r="AD96" s="2" t="s">
        <v>1874</v>
      </c>
      <c r="AE96" s="2" t="s">
        <v>1875</v>
      </c>
      <c r="AF96" s="2" t="s">
        <v>1876</v>
      </c>
      <c r="AG96" s="2" t="s">
        <v>1877</v>
      </c>
      <c r="AH96" s="2" t="s">
        <v>86</v>
      </c>
      <c r="AI96" s="2" t="s">
        <v>1878</v>
      </c>
      <c r="AJ96" s="2" t="s">
        <v>1879</v>
      </c>
      <c r="AK96" s="2" t="s">
        <v>1880</v>
      </c>
      <c r="AL96" s="4">
        <v>2022</v>
      </c>
      <c r="AM96" s="4">
        <v>28</v>
      </c>
      <c r="AN96" s="4">
        <v>5</v>
      </c>
      <c r="AO96" s="2" t="s">
        <v>86</v>
      </c>
      <c r="AP96" s="2" t="s">
        <v>86</v>
      </c>
      <c r="AQ96" s="2" t="s">
        <v>86</v>
      </c>
      <c r="AR96" s="2" t="s">
        <v>86</v>
      </c>
      <c r="AS96" s="4">
        <v>633</v>
      </c>
      <c r="AT96" s="4">
        <v>641</v>
      </c>
      <c r="AU96" s="2" t="s">
        <v>86</v>
      </c>
      <c r="AV96" s="2" t="s">
        <v>86</v>
      </c>
      <c r="AW96" s="2" t="s">
        <v>86</v>
      </c>
      <c r="AX96" s="4">
        <v>9</v>
      </c>
      <c r="AY96" s="2" t="s">
        <v>1881</v>
      </c>
      <c r="AZ96" s="2" t="s">
        <v>92</v>
      </c>
      <c r="BA96" s="2" t="s">
        <v>1881</v>
      </c>
      <c r="BB96" s="2" t="s">
        <v>1882</v>
      </c>
      <c r="BC96" s="2" t="s">
        <v>86</v>
      </c>
      <c r="BD96" s="2" t="s">
        <v>321</v>
      </c>
      <c r="BE96" s="2" t="s">
        <v>86</v>
      </c>
      <c r="BF96" s="2" t="s">
        <v>86</v>
      </c>
      <c r="BG96" s="2" t="s">
        <v>95</v>
      </c>
      <c r="BH96" s="2" t="s">
        <v>1883</v>
      </c>
      <c r="BI96" s="2" t="str">
        <f>HYPERLINK("https%3A%2F%2Fwww.webofscience.com%2Fwos%2Fwoscc%2Ffull-record%2FWOS:000884751200012","View Full Record in Web of Science")</f>
        <v>View Full Record in Web of Science</v>
      </c>
    </row>
    <row r="97" spans="1:61" ht="12.75" x14ac:dyDescent="0.2">
      <c r="A97" s="8">
        <v>93</v>
      </c>
      <c r="B97" s="8" t="s">
        <v>1049</v>
      </c>
      <c r="C97" s="8" t="s">
        <v>1884</v>
      </c>
      <c r="D97" s="9" t="s">
        <v>1885</v>
      </c>
      <c r="E97" s="9" t="s">
        <v>1886</v>
      </c>
      <c r="F97" s="11" t="str">
        <f>HYPERLINK("http://dx.doi.org/10.4194/1303-2712-v17_6_37","http://dx.doi.org/10.4194/1303-2712-v17_6_37")</f>
        <v>http://dx.doi.org/10.4194/1303-2712-v17_6_37</v>
      </c>
      <c r="G97" s="9" t="s">
        <v>200</v>
      </c>
      <c r="H97" s="9" t="s">
        <v>906</v>
      </c>
      <c r="I97" s="9" t="s">
        <v>907</v>
      </c>
      <c r="J97" s="9" t="s">
        <v>620</v>
      </c>
      <c r="K97" s="9" t="s">
        <v>68</v>
      </c>
      <c r="L97" s="9" t="s">
        <v>1887</v>
      </c>
      <c r="M97" s="9" t="s">
        <v>1888</v>
      </c>
      <c r="N97" s="9" t="s">
        <v>1889</v>
      </c>
      <c r="O97" s="9" t="s">
        <v>911</v>
      </c>
      <c r="P97" s="9" t="s">
        <v>1890</v>
      </c>
      <c r="Q97" s="9" t="s">
        <v>913</v>
      </c>
      <c r="R97" s="9" t="s">
        <v>1891</v>
      </c>
      <c r="S97" s="9" t="s">
        <v>1892</v>
      </c>
      <c r="T97" s="9" t="s">
        <v>1893</v>
      </c>
      <c r="U97" s="9" t="s">
        <v>1894</v>
      </c>
      <c r="V97" s="9" t="s">
        <v>1895</v>
      </c>
      <c r="W97" s="9" t="s">
        <v>80</v>
      </c>
      <c r="X97" s="12">
        <v>63</v>
      </c>
      <c r="Y97" s="12">
        <v>37</v>
      </c>
      <c r="Z97" s="12">
        <v>39</v>
      </c>
      <c r="AA97" s="12">
        <v>6</v>
      </c>
      <c r="AB97" s="12">
        <v>29</v>
      </c>
      <c r="AC97" s="9" t="s">
        <v>629</v>
      </c>
      <c r="AD97" s="9" t="s">
        <v>630</v>
      </c>
      <c r="AE97" s="9" t="s">
        <v>631</v>
      </c>
      <c r="AF97" s="9" t="s">
        <v>632</v>
      </c>
      <c r="AG97" s="9" t="s">
        <v>86</v>
      </c>
      <c r="AH97" s="9" t="s">
        <v>86</v>
      </c>
      <c r="AI97" s="9" t="s">
        <v>634</v>
      </c>
      <c r="AJ97" s="9" t="s">
        <v>635</v>
      </c>
      <c r="AK97" s="9" t="s">
        <v>86</v>
      </c>
      <c r="AL97" s="12">
        <v>2017</v>
      </c>
      <c r="AM97" s="12">
        <v>17</v>
      </c>
      <c r="AN97" s="9" t="s">
        <v>86</v>
      </c>
      <c r="AO97" s="9" t="s">
        <v>86</v>
      </c>
      <c r="AP97" s="9" t="s">
        <v>86</v>
      </c>
      <c r="AQ97" s="9" t="s">
        <v>963</v>
      </c>
      <c r="AR97" s="9" t="s">
        <v>86</v>
      </c>
      <c r="AS97" s="12">
        <v>1431</v>
      </c>
      <c r="AT97" s="12">
        <v>1440</v>
      </c>
      <c r="AU97" s="9" t="s">
        <v>86</v>
      </c>
      <c r="AV97" s="9" t="s">
        <v>86</v>
      </c>
      <c r="AW97" s="9" t="s">
        <v>86</v>
      </c>
      <c r="AX97" s="12">
        <v>10</v>
      </c>
      <c r="AY97" s="9" t="s">
        <v>319</v>
      </c>
      <c r="AZ97" s="9" t="s">
        <v>92</v>
      </c>
      <c r="BA97" s="9" t="s">
        <v>319</v>
      </c>
      <c r="BB97" s="9" t="s">
        <v>1896</v>
      </c>
      <c r="BC97" s="9" t="s">
        <v>86</v>
      </c>
      <c r="BD97" s="9" t="s">
        <v>1491</v>
      </c>
      <c r="BE97" s="9" t="s">
        <v>86</v>
      </c>
      <c r="BF97" s="9" t="s">
        <v>86</v>
      </c>
      <c r="BG97" s="9" t="s">
        <v>95</v>
      </c>
      <c r="BH97" s="9" t="s">
        <v>1897</v>
      </c>
      <c r="BI97" s="9" t="str">
        <f>HYPERLINK("https%3A%2F%2Fwww.webofscience.com%2Fwos%2Fwoscc%2Ffull-record%2FWOS:000422959000012","View Full Record in Web of Science")</f>
        <v>View Full Record in Web of Science</v>
      </c>
    </row>
    <row r="98" spans="1:61" ht="12.75" x14ac:dyDescent="0.2">
      <c r="A98" s="8">
        <v>94</v>
      </c>
      <c r="B98" s="8" t="s">
        <v>1049</v>
      </c>
      <c r="C98" s="8" t="s">
        <v>1898</v>
      </c>
      <c r="D98" s="9" t="s">
        <v>1899</v>
      </c>
      <c r="E98" s="9" t="s">
        <v>1900</v>
      </c>
      <c r="F98" s="11" t="str">
        <f>HYPERLINK("http://dx.doi.org/10.1016/j.envpol.2022.120561","http://dx.doi.org/10.1016/j.envpol.2022.120561")</f>
        <v>http://dx.doi.org/10.1016/j.envpol.2022.120561</v>
      </c>
      <c r="G98" s="9" t="s">
        <v>200</v>
      </c>
      <c r="H98" s="9" t="s">
        <v>1901</v>
      </c>
      <c r="I98" s="9" t="s">
        <v>1902</v>
      </c>
      <c r="J98" s="9" t="s">
        <v>102</v>
      </c>
      <c r="K98" s="9" t="s">
        <v>68</v>
      </c>
      <c r="L98" s="9" t="s">
        <v>1903</v>
      </c>
      <c r="M98" s="9" t="s">
        <v>1904</v>
      </c>
      <c r="N98" s="9" t="s">
        <v>1905</v>
      </c>
      <c r="O98" s="9" t="s">
        <v>1906</v>
      </c>
      <c r="P98" s="9" t="s">
        <v>1907</v>
      </c>
      <c r="Q98" s="9" t="s">
        <v>1908</v>
      </c>
      <c r="R98" s="9" t="s">
        <v>1909</v>
      </c>
      <c r="S98" s="9" t="s">
        <v>86</v>
      </c>
      <c r="T98" s="9" t="s">
        <v>86</v>
      </c>
      <c r="U98" s="9" t="s">
        <v>86</v>
      </c>
      <c r="V98" s="9" t="s">
        <v>86</v>
      </c>
      <c r="W98" s="9" t="s">
        <v>80</v>
      </c>
      <c r="X98" s="12">
        <v>68</v>
      </c>
      <c r="Y98" s="12">
        <v>1</v>
      </c>
      <c r="Z98" s="12">
        <v>1</v>
      </c>
      <c r="AA98" s="12">
        <v>16</v>
      </c>
      <c r="AB98" s="12">
        <v>19</v>
      </c>
      <c r="AC98" s="9" t="s">
        <v>114</v>
      </c>
      <c r="AD98" s="9" t="s">
        <v>115</v>
      </c>
      <c r="AE98" s="9" t="s">
        <v>116</v>
      </c>
      <c r="AF98" s="9" t="s">
        <v>117</v>
      </c>
      <c r="AG98" s="9" t="s">
        <v>118</v>
      </c>
      <c r="AH98" s="9" t="s">
        <v>86</v>
      </c>
      <c r="AI98" s="9" t="s">
        <v>119</v>
      </c>
      <c r="AJ98" s="9" t="s">
        <v>120</v>
      </c>
      <c r="AK98" s="9" t="s">
        <v>1910</v>
      </c>
      <c r="AL98" s="12">
        <v>2023</v>
      </c>
      <c r="AM98" s="12">
        <v>316</v>
      </c>
      <c r="AN98" s="9" t="s">
        <v>86</v>
      </c>
      <c r="AO98" s="12">
        <v>1</v>
      </c>
      <c r="AP98" s="9" t="s">
        <v>86</v>
      </c>
      <c r="AQ98" s="9" t="s">
        <v>86</v>
      </c>
      <c r="AR98" s="9" t="s">
        <v>86</v>
      </c>
      <c r="AS98" s="9" t="s">
        <v>86</v>
      </c>
      <c r="AT98" s="9" t="s">
        <v>86</v>
      </c>
      <c r="AU98" s="12">
        <v>120561</v>
      </c>
      <c r="AV98" s="9" t="s">
        <v>86</v>
      </c>
      <c r="AW98" s="9" t="s">
        <v>1911</v>
      </c>
      <c r="AX98" s="12">
        <v>9</v>
      </c>
      <c r="AY98" s="9" t="s">
        <v>91</v>
      </c>
      <c r="AZ98" s="9" t="s">
        <v>92</v>
      </c>
      <c r="BA98" s="9" t="s">
        <v>93</v>
      </c>
      <c r="BB98" s="9" t="s">
        <v>1912</v>
      </c>
      <c r="BC98" s="12">
        <v>36328281</v>
      </c>
      <c r="BD98" s="9" t="s">
        <v>1491</v>
      </c>
      <c r="BE98" s="9" t="s">
        <v>86</v>
      </c>
      <c r="BF98" s="9" t="s">
        <v>86</v>
      </c>
      <c r="BG98" s="9" t="s">
        <v>95</v>
      </c>
      <c r="BH98" s="9" t="s">
        <v>1913</v>
      </c>
      <c r="BI98" s="9" t="str">
        <f>HYPERLINK("https%3A%2F%2Fwww.webofscience.com%2Fwos%2Fwoscc%2Ffull-record%2FWOS:000881796100007","View Full Record in Web of Science")</f>
        <v>View Full Record in Web of Science</v>
      </c>
    </row>
    <row r="99" spans="1:61" customFormat="1" ht="12.75" x14ac:dyDescent="0.2">
      <c r="A99" s="1">
        <v>95</v>
      </c>
      <c r="B99" s="1" t="s">
        <v>1068</v>
      </c>
      <c r="C99" s="1" t="s">
        <v>1914</v>
      </c>
      <c r="D99" s="2" t="s">
        <v>1915</v>
      </c>
      <c r="E99" s="2" t="s">
        <v>86</v>
      </c>
      <c r="F99" s="2" t="s">
        <v>86</v>
      </c>
      <c r="G99" s="2" t="s">
        <v>200</v>
      </c>
      <c r="H99" s="2" t="s">
        <v>1916</v>
      </c>
      <c r="I99" s="2" t="s">
        <v>1917</v>
      </c>
      <c r="J99" s="2" t="s">
        <v>1918</v>
      </c>
      <c r="K99" s="2" t="s">
        <v>68</v>
      </c>
      <c r="L99" s="2" t="s">
        <v>1919</v>
      </c>
      <c r="M99" s="2" t="s">
        <v>1920</v>
      </c>
      <c r="N99" s="2" t="s">
        <v>1921</v>
      </c>
      <c r="O99" s="2" t="s">
        <v>1922</v>
      </c>
      <c r="P99" s="2" t="s">
        <v>1923</v>
      </c>
      <c r="Q99" s="2" t="s">
        <v>1924</v>
      </c>
      <c r="R99" s="2" t="s">
        <v>431</v>
      </c>
      <c r="S99" s="2" t="s">
        <v>432</v>
      </c>
      <c r="T99" s="2" t="s">
        <v>1925</v>
      </c>
      <c r="U99" s="2" t="s">
        <v>434</v>
      </c>
      <c r="V99" s="2" t="s">
        <v>1926</v>
      </c>
      <c r="W99" s="2" t="s">
        <v>80</v>
      </c>
      <c r="X99" s="4">
        <v>35</v>
      </c>
      <c r="Y99" s="4">
        <v>4</v>
      </c>
      <c r="Z99" s="4">
        <v>5</v>
      </c>
      <c r="AA99" s="4">
        <v>8</v>
      </c>
      <c r="AB99" s="4">
        <v>80</v>
      </c>
      <c r="AC99" s="2" t="s">
        <v>1927</v>
      </c>
      <c r="AD99" s="2" t="s">
        <v>1928</v>
      </c>
      <c r="AE99" s="2" t="s">
        <v>1929</v>
      </c>
      <c r="AF99" s="2" t="s">
        <v>1930</v>
      </c>
      <c r="AG99" s="2" t="s">
        <v>1931</v>
      </c>
      <c r="AH99" s="2" t="s">
        <v>86</v>
      </c>
      <c r="AI99" s="2" t="s">
        <v>1932</v>
      </c>
      <c r="AJ99" s="2" t="s">
        <v>1933</v>
      </c>
      <c r="AK99" s="2" t="s">
        <v>86</v>
      </c>
      <c r="AL99" s="4">
        <v>2018</v>
      </c>
      <c r="AM99" s="4">
        <v>27</v>
      </c>
      <c r="AN99" s="4">
        <v>7</v>
      </c>
      <c r="AO99" s="2" t="s">
        <v>86</v>
      </c>
      <c r="AP99" s="2" t="s">
        <v>86</v>
      </c>
      <c r="AQ99" s="2" t="s">
        <v>86</v>
      </c>
      <c r="AR99" s="2" t="s">
        <v>86</v>
      </c>
      <c r="AS99" s="4">
        <v>4973</v>
      </c>
      <c r="AT99" s="4">
        <v>4979</v>
      </c>
      <c r="AU99" s="2" t="s">
        <v>86</v>
      </c>
      <c r="AV99" s="2" t="s">
        <v>86</v>
      </c>
      <c r="AW99" s="2" t="s">
        <v>86</v>
      </c>
      <c r="AX99" s="4">
        <v>7</v>
      </c>
      <c r="AY99" s="2" t="s">
        <v>91</v>
      </c>
      <c r="AZ99" s="2" t="s">
        <v>92</v>
      </c>
      <c r="BA99" s="2" t="s">
        <v>93</v>
      </c>
      <c r="BB99" s="2" t="s">
        <v>1934</v>
      </c>
      <c r="BC99" s="2" t="s">
        <v>86</v>
      </c>
      <c r="BD99" s="2" t="s">
        <v>86</v>
      </c>
      <c r="BE99" s="2" t="s">
        <v>86</v>
      </c>
      <c r="BF99" s="2" t="s">
        <v>86</v>
      </c>
      <c r="BG99" s="2" t="s">
        <v>95</v>
      </c>
      <c r="BH99" s="2" t="s">
        <v>1935</v>
      </c>
      <c r="BI99" s="2" t="str">
        <f>HYPERLINK("https%3A%2F%2Fwww.webofscience.com%2Fwos%2Fwoscc%2Ffull-record%2FWOS:000439087100047","View Full Record in Web of Science")</f>
        <v>View Full Record in Web of Science</v>
      </c>
    </row>
    <row r="100" spans="1:61" customFormat="1" ht="12.75" x14ac:dyDescent="0.2">
      <c r="A100" s="1">
        <v>96</v>
      </c>
      <c r="B100" s="1" t="s">
        <v>1068</v>
      </c>
      <c r="C100" s="1" t="s">
        <v>1936</v>
      </c>
      <c r="D100" s="2" t="s">
        <v>1937</v>
      </c>
      <c r="E100" s="2" t="s">
        <v>1938</v>
      </c>
      <c r="F100" s="3" t="str">
        <f>HYPERLINK("http://dx.doi.org/10.1016/j.aquaculture.2020.736316","http://dx.doi.org/10.1016/j.aquaculture.2020.736316")</f>
        <v>http://dx.doi.org/10.1016/j.aquaculture.2020.736316</v>
      </c>
      <c r="G100" s="2" t="s">
        <v>200</v>
      </c>
      <c r="H100" s="2" t="s">
        <v>1939</v>
      </c>
      <c r="I100" s="2" t="s">
        <v>1940</v>
      </c>
      <c r="J100" s="2" t="s">
        <v>1941</v>
      </c>
      <c r="K100" s="2" t="s">
        <v>68</v>
      </c>
      <c r="L100" s="2" t="s">
        <v>1942</v>
      </c>
      <c r="M100" s="2" t="s">
        <v>1943</v>
      </c>
      <c r="N100" s="2" t="s">
        <v>1944</v>
      </c>
      <c r="O100" s="2" t="s">
        <v>1945</v>
      </c>
      <c r="P100" s="2" t="s">
        <v>1174</v>
      </c>
      <c r="Q100" s="2" t="s">
        <v>74</v>
      </c>
      <c r="R100" s="2" t="s">
        <v>1175</v>
      </c>
      <c r="S100" s="2" t="s">
        <v>1946</v>
      </c>
      <c r="T100" s="2" t="s">
        <v>86</v>
      </c>
      <c r="U100" s="2" t="s">
        <v>86</v>
      </c>
      <c r="V100" s="2" t="s">
        <v>86</v>
      </c>
      <c r="W100" s="2" t="s">
        <v>80</v>
      </c>
      <c r="X100" s="4">
        <v>56</v>
      </c>
      <c r="Y100" s="4">
        <v>22</v>
      </c>
      <c r="Z100" s="4">
        <v>25</v>
      </c>
      <c r="AA100" s="4">
        <v>2</v>
      </c>
      <c r="AB100" s="4">
        <v>80</v>
      </c>
      <c r="AC100" s="2" t="s">
        <v>585</v>
      </c>
      <c r="AD100" s="2" t="s">
        <v>586</v>
      </c>
      <c r="AE100" s="2" t="s">
        <v>587</v>
      </c>
      <c r="AF100" s="2" t="s">
        <v>1947</v>
      </c>
      <c r="AG100" s="2" t="s">
        <v>1948</v>
      </c>
      <c r="AH100" s="2" t="s">
        <v>86</v>
      </c>
      <c r="AI100" s="2" t="s">
        <v>1941</v>
      </c>
      <c r="AJ100" s="2" t="s">
        <v>1949</v>
      </c>
      <c r="AK100" s="2" t="s">
        <v>1950</v>
      </c>
      <c r="AL100" s="4">
        <v>2021</v>
      </c>
      <c r="AM100" s="4">
        <v>534</v>
      </c>
      <c r="AN100" s="2" t="s">
        <v>86</v>
      </c>
      <c r="AO100" s="2" t="s">
        <v>86</v>
      </c>
      <c r="AP100" s="2" t="s">
        <v>86</v>
      </c>
      <c r="AQ100" s="2" t="s">
        <v>86</v>
      </c>
      <c r="AR100" s="2" t="s">
        <v>86</v>
      </c>
      <c r="AS100" s="2" t="s">
        <v>86</v>
      </c>
      <c r="AT100" s="2" t="s">
        <v>86</v>
      </c>
      <c r="AU100" s="4">
        <v>736316</v>
      </c>
      <c r="AV100" s="2" t="s">
        <v>86</v>
      </c>
      <c r="AW100" s="2" t="s">
        <v>1592</v>
      </c>
      <c r="AX100" s="4">
        <v>10</v>
      </c>
      <c r="AY100" s="2" t="s">
        <v>319</v>
      </c>
      <c r="AZ100" s="2" t="s">
        <v>92</v>
      </c>
      <c r="BA100" s="2" t="s">
        <v>319</v>
      </c>
      <c r="BB100" s="2" t="s">
        <v>1951</v>
      </c>
      <c r="BC100" s="2" t="s">
        <v>86</v>
      </c>
      <c r="BD100" s="2" t="s">
        <v>86</v>
      </c>
      <c r="BE100" s="2" t="s">
        <v>86</v>
      </c>
      <c r="BF100" s="2" t="s">
        <v>86</v>
      </c>
      <c r="BG100" s="2" t="s">
        <v>95</v>
      </c>
      <c r="BH100" s="2" t="s">
        <v>1952</v>
      </c>
      <c r="BI100" s="2" t="str">
        <f>HYPERLINK("https%3A%2F%2Fwww.webofscience.com%2Fwos%2Fwoscc%2Ffull-record%2FWOS:000614762600010","View Full Record in Web of Science")</f>
        <v>View Full Record in Web of Science</v>
      </c>
    </row>
    <row r="101" spans="1:61" ht="12.75" x14ac:dyDescent="0.2">
      <c r="A101" s="8">
        <v>97</v>
      </c>
      <c r="B101" s="8" t="s">
        <v>1049</v>
      </c>
      <c r="C101" s="8" t="s">
        <v>1953</v>
      </c>
      <c r="D101" s="9" t="s">
        <v>1954</v>
      </c>
      <c r="E101" s="9" t="s">
        <v>1955</v>
      </c>
      <c r="F101" s="11" t="str">
        <f>HYPERLINK("http://dx.doi.org/10.1016/j.chemosphere.2020.127570","http://dx.doi.org/10.1016/j.chemosphere.2020.127570")</f>
        <v>http://dx.doi.org/10.1016/j.chemosphere.2020.127570</v>
      </c>
      <c r="G101" s="9" t="s">
        <v>200</v>
      </c>
      <c r="H101" s="9" t="s">
        <v>1956</v>
      </c>
      <c r="I101" s="9" t="s">
        <v>1957</v>
      </c>
      <c r="J101" s="9" t="s">
        <v>227</v>
      </c>
      <c r="K101" s="9" t="s">
        <v>68</v>
      </c>
      <c r="L101" s="9" t="s">
        <v>1958</v>
      </c>
      <c r="M101" s="9" t="s">
        <v>1959</v>
      </c>
      <c r="N101" s="9" t="s">
        <v>1960</v>
      </c>
      <c r="O101" s="9" t="s">
        <v>1422</v>
      </c>
      <c r="P101" s="9" t="s">
        <v>1633</v>
      </c>
      <c r="Q101" s="9" t="s">
        <v>1961</v>
      </c>
      <c r="R101" s="9" t="s">
        <v>1962</v>
      </c>
      <c r="S101" s="9" t="s">
        <v>1963</v>
      </c>
      <c r="T101" s="9" t="s">
        <v>1964</v>
      </c>
      <c r="U101" s="9" t="s">
        <v>1548</v>
      </c>
      <c r="V101" s="9" t="s">
        <v>1965</v>
      </c>
      <c r="W101" s="9" t="s">
        <v>80</v>
      </c>
      <c r="X101" s="12">
        <v>45</v>
      </c>
      <c r="Y101" s="12">
        <v>70</v>
      </c>
      <c r="Z101" s="12">
        <v>71</v>
      </c>
      <c r="AA101" s="12">
        <v>6</v>
      </c>
      <c r="AB101" s="12">
        <v>119</v>
      </c>
      <c r="AC101" s="9" t="s">
        <v>237</v>
      </c>
      <c r="AD101" s="9" t="s">
        <v>115</v>
      </c>
      <c r="AE101" s="9" t="s">
        <v>238</v>
      </c>
      <c r="AF101" s="9" t="s">
        <v>239</v>
      </c>
      <c r="AG101" s="9" t="s">
        <v>240</v>
      </c>
      <c r="AH101" s="9" t="s">
        <v>86</v>
      </c>
      <c r="AI101" s="9" t="s">
        <v>227</v>
      </c>
      <c r="AJ101" s="9" t="s">
        <v>241</v>
      </c>
      <c r="AK101" s="9" t="s">
        <v>217</v>
      </c>
      <c r="AL101" s="12">
        <v>2020</v>
      </c>
      <c r="AM101" s="12">
        <v>260</v>
      </c>
      <c r="AN101" s="9" t="s">
        <v>86</v>
      </c>
      <c r="AO101" s="9" t="s">
        <v>86</v>
      </c>
      <c r="AP101" s="9" t="s">
        <v>86</v>
      </c>
      <c r="AQ101" s="9" t="s">
        <v>86</v>
      </c>
      <c r="AR101" s="9" t="s">
        <v>86</v>
      </c>
      <c r="AS101" s="9" t="s">
        <v>86</v>
      </c>
      <c r="AT101" s="9" t="s">
        <v>86</v>
      </c>
      <c r="AU101" s="12">
        <v>127570</v>
      </c>
      <c r="AV101" s="9" t="s">
        <v>86</v>
      </c>
      <c r="AW101" s="9" t="s">
        <v>86</v>
      </c>
      <c r="AX101" s="12">
        <v>8</v>
      </c>
      <c r="AY101" s="9" t="s">
        <v>91</v>
      </c>
      <c r="AZ101" s="9" t="s">
        <v>92</v>
      </c>
      <c r="BA101" s="9" t="s">
        <v>93</v>
      </c>
      <c r="BB101" s="9" t="s">
        <v>1966</v>
      </c>
      <c r="BC101" s="12">
        <v>32668364</v>
      </c>
      <c r="BD101" s="9" t="s">
        <v>86</v>
      </c>
      <c r="BE101" s="9" t="s">
        <v>86</v>
      </c>
      <c r="BF101" s="9" t="s">
        <v>86</v>
      </c>
      <c r="BG101" s="9" t="s">
        <v>95</v>
      </c>
      <c r="BH101" s="9" t="s">
        <v>1967</v>
      </c>
      <c r="BI101" s="9" t="str">
        <f>HYPERLINK("https%3A%2F%2Fwww.webofscience.com%2Fwos%2Fwoscc%2Ffull-record%2FWOS:000575197000054","View Full Record in Web of Science")</f>
        <v>View Full Record in Web of Science</v>
      </c>
    </row>
    <row r="102" spans="1:61" ht="12.75" x14ac:dyDescent="0.2">
      <c r="A102" s="8">
        <v>98</v>
      </c>
      <c r="B102" s="8" t="s">
        <v>1049</v>
      </c>
      <c r="C102" s="8" t="s">
        <v>1968</v>
      </c>
      <c r="D102" s="9" t="s">
        <v>1969</v>
      </c>
      <c r="E102" s="9" t="s">
        <v>1970</v>
      </c>
      <c r="F102" s="11" t="str">
        <f>HYPERLINK("http://dx.doi.org/10.1016/j.scitotenv.2022.157038","http://dx.doi.org/10.1016/j.scitotenv.2022.157038")</f>
        <v>http://dx.doi.org/10.1016/j.scitotenv.2022.157038</v>
      </c>
      <c r="G102" s="9" t="s">
        <v>200</v>
      </c>
      <c r="H102" s="9" t="s">
        <v>1971</v>
      </c>
      <c r="I102" s="9" t="s">
        <v>1972</v>
      </c>
      <c r="J102" s="9" t="s">
        <v>576</v>
      </c>
      <c r="K102" s="9" t="s">
        <v>68</v>
      </c>
      <c r="L102" s="9" t="s">
        <v>1973</v>
      </c>
      <c r="M102" s="9" t="s">
        <v>1974</v>
      </c>
      <c r="N102" s="9" t="s">
        <v>1975</v>
      </c>
      <c r="O102" s="9" t="s">
        <v>1976</v>
      </c>
      <c r="P102" s="9" t="s">
        <v>1633</v>
      </c>
      <c r="Q102" s="9" t="s">
        <v>1634</v>
      </c>
      <c r="R102" s="9" t="s">
        <v>1977</v>
      </c>
      <c r="S102" s="9" t="s">
        <v>1978</v>
      </c>
      <c r="T102" s="9" t="s">
        <v>1979</v>
      </c>
      <c r="U102" s="9" t="s">
        <v>1980</v>
      </c>
      <c r="V102" s="9" t="s">
        <v>1981</v>
      </c>
      <c r="W102" s="9" t="s">
        <v>80</v>
      </c>
      <c r="X102" s="12">
        <v>74</v>
      </c>
      <c r="Y102" s="12">
        <v>4</v>
      </c>
      <c r="Z102" s="12">
        <v>4</v>
      </c>
      <c r="AA102" s="12">
        <v>8</v>
      </c>
      <c r="AB102" s="12">
        <v>63</v>
      </c>
      <c r="AC102" s="9" t="s">
        <v>585</v>
      </c>
      <c r="AD102" s="9" t="s">
        <v>586</v>
      </c>
      <c r="AE102" s="9" t="s">
        <v>587</v>
      </c>
      <c r="AF102" s="9" t="s">
        <v>588</v>
      </c>
      <c r="AG102" s="9" t="s">
        <v>589</v>
      </c>
      <c r="AH102" s="9" t="s">
        <v>86</v>
      </c>
      <c r="AI102" s="9" t="s">
        <v>590</v>
      </c>
      <c r="AJ102" s="9" t="s">
        <v>591</v>
      </c>
      <c r="AK102" s="9" t="s">
        <v>493</v>
      </c>
      <c r="AL102" s="12">
        <v>2022</v>
      </c>
      <c r="AM102" s="12">
        <v>843</v>
      </c>
      <c r="AN102" s="9" t="s">
        <v>86</v>
      </c>
      <c r="AO102" s="9" t="s">
        <v>86</v>
      </c>
      <c r="AP102" s="9" t="s">
        <v>86</v>
      </c>
      <c r="AQ102" s="9" t="s">
        <v>86</v>
      </c>
      <c r="AR102" s="9" t="s">
        <v>86</v>
      </c>
      <c r="AS102" s="9" t="s">
        <v>86</v>
      </c>
      <c r="AT102" s="9" t="s">
        <v>86</v>
      </c>
      <c r="AU102" s="12">
        <v>157038</v>
      </c>
      <c r="AV102" s="9" t="s">
        <v>86</v>
      </c>
      <c r="AW102" s="9" t="s">
        <v>1982</v>
      </c>
      <c r="AX102" s="12">
        <v>10</v>
      </c>
      <c r="AY102" s="9" t="s">
        <v>91</v>
      </c>
      <c r="AZ102" s="9" t="s">
        <v>92</v>
      </c>
      <c r="BA102" s="9" t="s">
        <v>93</v>
      </c>
      <c r="BB102" s="9" t="s">
        <v>1983</v>
      </c>
      <c r="BC102" s="12">
        <v>35777557</v>
      </c>
      <c r="BD102" s="9" t="s">
        <v>86</v>
      </c>
      <c r="BE102" s="9" t="s">
        <v>86</v>
      </c>
      <c r="BF102" s="9" t="s">
        <v>86</v>
      </c>
      <c r="BG102" s="9" t="s">
        <v>95</v>
      </c>
      <c r="BH102" s="9" t="s">
        <v>1984</v>
      </c>
      <c r="BI102" s="9" t="str">
        <f>HYPERLINK("https%3A%2F%2Fwww.webofscience.com%2Fwos%2Fwoscc%2Ffull-record%2FWOS:000827317200012","View Full Record in Web of Science")</f>
        <v>View Full Record in Web of Science</v>
      </c>
    </row>
    <row r="103" spans="1:61" ht="12.75" x14ac:dyDescent="0.2">
      <c r="A103" s="8">
        <v>99</v>
      </c>
      <c r="B103" s="8" t="s">
        <v>1049</v>
      </c>
      <c r="C103" s="8" t="s">
        <v>1985</v>
      </c>
      <c r="D103" s="9" t="s">
        <v>1986</v>
      </c>
      <c r="E103" s="9" t="s">
        <v>1987</v>
      </c>
      <c r="F103" s="11" t="str">
        <f>HYPERLINK("http://dx.doi.org/10.4194/TRJFAS20507","http://dx.doi.org/10.4194/TRJFAS20507")</f>
        <v>http://dx.doi.org/10.4194/TRJFAS20507</v>
      </c>
      <c r="G103" s="9" t="s">
        <v>200</v>
      </c>
      <c r="H103" s="9" t="s">
        <v>1988</v>
      </c>
      <c r="I103" s="9" t="s">
        <v>1989</v>
      </c>
      <c r="J103" s="9" t="s">
        <v>620</v>
      </c>
      <c r="K103" s="9" t="s">
        <v>68</v>
      </c>
      <c r="L103" s="9" t="s">
        <v>1990</v>
      </c>
      <c r="M103" s="9" t="s">
        <v>1991</v>
      </c>
      <c r="N103" s="9" t="s">
        <v>1992</v>
      </c>
      <c r="O103" s="9" t="s">
        <v>1993</v>
      </c>
      <c r="P103" s="9" t="s">
        <v>1994</v>
      </c>
      <c r="Q103" s="9" t="s">
        <v>1283</v>
      </c>
      <c r="R103" s="9" t="s">
        <v>1995</v>
      </c>
      <c r="S103" s="9" t="s">
        <v>1996</v>
      </c>
      <c r="T103" s="9" t="s">
        <v>1997</v>
      </c>
      <c r="U103" s="9" t="s">
        <v>1998</v>
      </c>
      <c r="V103" s="9" t="s">
        <v>1999</v>
      </c>
      <c r="W103" s="9" t="s">
        <v>80</v>
      </c>
      <c r="X103" s="12">
        <v>27</v>
      </c>
      <c r="Y103" s="12">
        <v>5</v>
      </c>
      <c r="Z103" s="12">
        <v>6</v>
      </c>
      <c r="AA103" s="12">
        <v>4</v>
      </c>
      <c r="AB103" s="12">
        <v>30</v>
      </c>
      <c r="AC103" s="9" t="s">
        <v>629</v>
      </c>
      <c r="AD103" s="9" t="s">
        <v>630</v>
      </c>
      <c r="AE103" s="9" t="s">
        <v>631</v>
      </c>
      <c r="AF103" s="9" t="s">
        <v>632</v>
      </c>
      <c r="AG103" s="9" t="s">
        <v>633</v>
      </c>
      <c r="AH103" s="9" t="s">
        <v>86</v>
      </c>
      <c r="AI103" s="9" t="s">
        <v>634</v>
      </c>
      <c r="AJ103" s="9" t="s">
        <v>635</v>
      </c>
      <c r="AK103" s="9" t="s">
        <v>1458</v>
      </c>
      <c r="AL103" s="12">
        <v>2022</v>
      </c>
      <c r="AM103" s="12">
        <v>22</v>
      </c>
      <c r="AN103" s="12">
        <v>7</v>
      </c>
      <c r="AO103" s="9" t="s">
        <v>86</v>
      </c>
      <c r="AP103" s="9" t="s">
        <v>86</v>
      </c>
      <c r="AQ103" s="9" t="s">
        <v>963</v>
      </c>
      <c r="AR103" s="9" t="s">
        <v>86</v>
      </c>
      <c r="AS103" s="9" t="s">
        <v>86</v>
      </c>
      <c r="AT103" s="9" t="s">
        <v>86</v>
      </c>
      <c r="AU103" s="9" t="s">
        <v>2000</v>
      </c>
      <c r="AV103" s="9" t="s">
        <v>86</v>
      </c>
      <c r="AW103" s="9" t="s">
        <v>86</v>
      </c>
      <c r="AX103" s="12">
        <v>12</v>
      </c>
      <c r="AY103" s="9" t="s">
        <v>319</v>
      </c>
      <c r="AZ103" s="9" t="s">
        <v>92</v>
      </c>
      <c r="BA103" s="9" t="s">
        <v>319</v>
      </c>
      <c r="BB103" s="9" t="s">
        <v>1460</v>
      </c>
      <c r="BC103" s="9" t="s">
        <v>86</v>
      </c>
      <c r="BD103" s="9" t="s">
        <v>321</v>
      </c>
      <c r="BE103" s="9" t="s">
        <v>86</v>
      </c>
      <c r="BF103" s="9" t="s">
        <v>86</v>
      </c>
      <c r="BG103" s="9" t="s">
        <v>95</v>
      </c>
      <c r="BH103" s="9" t="s">
        <v>2001</v>
      </c>
      <c r="BI103" s="9" t="str">
        <f>HYPERLINK("https%3A%2F%2Fwww.webofscience.com%2Fwos%2Fwoscc%2Ffull-record%2FWOS:000763773900004","View Full Record in Web of Science")</f>
        <v>View Full Record in Web of Science</v>
      </c>
    </row>
    <row r="104" spans="1:61" ht="12.75" x14ac:dyDescent="0.2">
      <c r="A104" s="8">
        <v>100</v>
      </c>
      <c r="B104" s="8" t="s">
        <v>1049</v>
      </c>
      <c r="C104" s="8" t="s">
        <v>2002</v>
      </c>
      <c r="D104" s="9" t="s">
        <v>2003</v>
      </c>
      <c r="E104" s="9" t="s">
        <v>2004</v>
      </c>
      <c r="F104" s="11" t="str">
        <f>HYPERLINK("http://dx.doi.org/10.1016/j.marpolbul.2021.113228","http://dx.doi.org/10.1016/j.marpolbul.2021.113228")</f>
        <v>http://dx.doi.org/10.1016/j.marpolbul.2021.113228</v>
      </c>
      <c r="G104" s="9" t="s">
        <v>200</v>
      </c>
      <c r="H104" s="9" t="s">
        <v>2005</v>
      </c>
      <c r="I104" s="9" t="s">
        <v>2006</v>
      </c>
      <c r="J104" s="9" t="s">
        <v>424</v>
      </c>
      <c r="K104" s="9" t="s">
        <v>68</v>
      </c>
      <c r="L104" s="9" t="s">
        <v>2007</v>
      </c>
      <c r="M104" s="9" t="s">
        <v>2008</v>
      </c>
      <c r="N104" s="9" t="s">
        <v>2009</v>
      </c>
      <c r="O104" s="9" t="s">
        <v>2010</v>
      </c>
      <c r="P104" s="9" t="s">
        <v>2011</v>
      </c>
      <c r="Q104" s="9" t="s">
        <v>2012</v>
      </c>
      <c r="R104" s="9" t="s">
        <v>2013</v>
      </c>
      <c r="S104" s="9" t="s">
        <v>2014</v>
      </c>
      <c r="T104" s="9" t="s">
        <v>2015</v>
      </c>
      <c r="U104" s="9" t="s">
        <v>2016</v>
      </c>
      <c r="V104" s="9" t="s">
        <v>2017</v>
      </c>
      <c r="W104" s="9" t="s">
        <v>80</v>
      </c>
      <c r="X104" s="12">
        <v>91</v>
      </c>
      <c r="Y104" s="12">
        <v>29</v>
      </c>
      <c r="Z104" s="12">
        <v>29</v>
      </c>
      <c r="AA104" s="12">
        <v>8</v>
      </c>
      <c r="AB104" s="12">
        <v>56</v>
      </c>
      <c r="AC104" s="9" t="s">
        <v>237</v>
      </c>
      <c r="AD104" s="9" t="s">
        <v>115</v>
      </c>
      <c r="AE104" s="9" t="s">
        <v>238</v>
      </c>
      <c r="AF104" s="9" t="s">
        <v>436</v>
      </c>
      <c r="AG104" s="9" t="s">
        <v>437</v>
      </c>
      <c r="AH104" s="9" t="s">
        <v>86</v>
      </c>
      <c r="AI104" s="9" t="s">
        <v>438</v>
      </c>
      <c r="AJ104" s="9" t="s">
        <v>439</v>
      </c>
      <c r="AK104" s="9" t="s">
        <v>534</v>
      </c>
      <c r="AL104" s="12">
        <v>2022</v>
      </c>
      <c r="AM104" s="12">
        <v>174</v>
      </c>
      <c r="AN104" s="9" t="s">
        <v>86</v>
      </c>
      <c r="AO104" s="9" t="s">
        <v>86</v>
      </c>
      <c r="AP104" s="9" t="s">
        <v>86</v>
      </c>
      <c r="AQ104" s="9" t="s">
        <v>86</v>
      </c>
      <c r="AR104" s="9" t="s">
        <v>86</v>
      </c>
      <c r="AS104" s="9" t="s">
        <v>86</v>
      </c>
      <c r="AT104" s="9" t="s">
        <v>86</v>
      </c>
      <c r="AU104" s="12">
        <v>113228</v>
      </c>
      <c r="AV104" s="9" t="s">
        <v>86</v>
      </c>
      <c r="AW104" s="9" t="s">
        <v>90</v>
      </c>
      <c r="AX104" s="12">
        <v>10</v>
      </c>
      <c r="AY104" s="9" t="s">
        <v>441</v>
      </c>
      <c r="AZ104" s="9" t="s">
        <v>92</v>
      </c>
      <c r="BA104" s="9" t="s">
        <v>442</v>
      </c>
      <c r="BB104" s="9" t="s">
        <v>2018</v>
      </c>
      <c r="BC104" s="12">
        <v>34875479</v>
      </c>
      <c r="BD104" s="9" t="s">
        <v>86</v>
      </c>
      <c r="BE104" s="9" t="s">
        <v>86</v>
      </c>
      <c r="BF104" s="9" t="s">
        <v>86</v>
      </c>
      <c r="BG104" s="9" t="s">
        <v>95</v>
      </c>
      <c r="BH104" s="9" t="s">
        <v>2019</v>
      </c>
      <c r="BI104" s="9" t="str">
        <f>HYPERLINK("https%3A%2F%2Fwww.webofscience.com%2Fwos%2Fwoscc%2Ffull-record%2FWOS:000737263600014","View Full Record in Web of Science")</f>
        <v>View Full Record in Web of Science</v>
      </c>
    </row>
    <row r="105" spans="1:61" customFormat="1" ht="12.75" x14ac:dyDescent="0.2">
      <c r="A105" s="1">
        <v>101</v>
      </c>
      <c r="B105" s="1" t="s">
        <v>1068</v>
      </c>
      <c r="C105" s="1" t="s">
        <v>2020</v>
      </c>
      <c r="D105" s="2" t="s">
        <v>2021</v>
      </c>
      <c r="E105" s="2" t="s">
        <v>2022</v>
      </c>
      <c r="F105" s="3" t="str">
        <f>HYPERLINK("http://dx.doi.org/10.2166/wh.2023.265","http://dx.doi.org/10.2166/wh.2023.265")</f>
        <v>http://dx.doi.org/10.2166/wh.2023.265</v>
      </c>
      <c r="G105" s="2" t="s">
        <v>642</v>
      </c>
      <c r="H105" s="2" t="s">
        <v>2023</v>
      </c>
      <c r="I105" s="2" t="s">
        <v>2024</v>
      </c>
      <c r="J105" s="2" t="s">
        <v>2025</v>
      </c>
      <c r="K105" s="2" t="s">
        <v>68</v>
      </c>
      <c r="L105" s="2" t="s">
        <v>2026</v>
      </c>
      <c r="M105" s="2" t="s">
        <v>2027</v>
      </c>
      <c r="N105" s="2" t="s">
        <v>2028</v>
      </c>
      <c r="O105" s="2" t="s">
        <v>2029</v>
      </c>
      <c r="P105" s="2" t="s">
        <v>2030</v>
      </c>
      <c r="Q105" s="2" t="s">
        <v>1504</v>
      </c>
      <c r="R105" s="2" t="s">
        <v>2031</v>
      </c>
      <c r="S105" s="2" t="s">
        <v>2032</v>
      </c>
      <c r="T105" s="2" t="s">
        <v>86</v>
      </c>
      <c r="U105" s="2" t="s">
        <v>86</v>
      </c>
      <c r="V105" s="2" t="s">
        <v>86</v>
      </c>
      <c r="W105" s="2" t="s">
        <v>80</v>
      </c>
      <c r="X105" s="4">
        <v>75</v>
      </c>
      <c r="Y105" s="4">
        <v>0</v>
      </c>
      <c r="Z105" s="4">
        <v>0</v>
      </c>
      <c r="AA105" s="4">
        <v>1</v>
      </c>
      <c r="AB105" s="4">
        <v>1</v>
      </c>
      <c r="AC105" s="2" t="s">
        <v>604</v>
      </c>
      <c r="AD105" s="2" t="s">
        <v>605</v>
      </c>
      <c r="AE105" s="2" t="s">
        <v>606</v>
      </c>
      <c r="AF105" s="2" t="s">
        <v>2033</v>
      </c>
      <c r="AG105" s="2" t="s">
        <v>2034</v>
      </c>
      <c r="AH105" s="2" t="s">
        <v>86</v>
      </c>
      <c r="AI105" s="2" t="s">
        <v>2035</v>
      </c>
      <c r="AJ105" s="2" t="s">
        <v>2036</v>
      </c>
      <c r="AK105" s="2" t="s">
        <v>2037</v>
      </c>
      <c r="AL105" s="4">
        <v>2023</v>
      </c>
      <c r="AM105" s="2" t="s">
        <v>86</v>
      </c>
      <c r="AN105" s="2" t="s">
        <v>86</v>
      </c>
      <c r="AO105" s="2" t="s">
        <v>86</v>
      </c>
      <c r="AP105" s="2" t="s">
        <v>86</v>
      </c>
      <c r="AQ105" s="2" t="s">
        <v>86</v>
      </c>
      <c r="AR105" s="2" t="s">
        <v>86</v>
      </c>
      <c r="AS105" s="2" t="s">
        <v>86</v>
      </c>
      <c r="AT105" s="2" t="s">
        <v>86</v>
      </c>
      <c r="AU105" s="2" t="s">
        <v>86</v>
      </c>
      <c r="AV105" s="2" t="s">
        <v>86</v>
      </c>
      <c r="AW105" s="2" t="s">
        <v>593</v>
      </c>
      <c r="AX105" s="4">
        <v>15</v>
      </c>
      <c r="AY105" s="2" t="s">
        <v>2038</v>
      </c>
      <c r="AZ105" s="2" t="s">
        <v>92</v>
      </c>
      <c r="BA105" s="2" t="s">
        <v>2039</v>
      </c>
      <c r="BB105" s="2" t="s">
        <v>2040</v>
      </c>
      <c r="BC105" s="4">
        <v>37387336</v>
      </c>
      <c r="BD105" s="2" t="s">
        <v>321</v>
      </c>
      <c r="BE105" s="2" t="s">
        <v>86</v>
      </c>
      <c r="BF105" s="2" t="s">
        <v>86</v>
      </c>
      <c r="BG105" s="2" t="s">
        <v>95</v>
      </c>
      <c r="BH105" s="2" t="s">
        <v>2041</v>
      </c>
      <c r="BI105" s="2" t="str">
        <f>HYPERLINK("https%3A%2F%2Fwww.webofscience.com%2Fwos%2Fwoscc%2Ffull-record%2FWOS:000996515900001","View Full Record in Web of Science")</f>
        <v>View Full Record in Web of Science</v>
      </c>
    </row>
    <row r="106" spans="1:61" customFormat="1" ht="12.75" x14ac:dyDescent="0.2">
      <c r="A106" s="1">
        <v>102</v>
      </c>
      <c r="B106" s="1" t="s">
        <v>1068</v>
      </c>
      <c r="C106" s="1" t="s">
        <v>2042</v>
      </c>
      <c r="D106" s="2" t="s">
        <v>2043</v>
      </c>
      <c r="E106" s="2" t="s">
        <v>86</v>
      </c>
      <c r="F106" s="2" t="s">
        <v>86</v>
      </c>
      <c r="G106" s="2" t="s">
        <v>176</v>
      </c>
      <c r="H106" s="2" t="s">
        <v>2044</v>
      </c>
      <c r="I106" s="2" t="s">
        <v>2045</v>
      </c>
      <c r="J106" s="2" t="s">
        <v>179</v>
      </c>
      <c r="K106" s="2" t="s">
        <v>68</v>
      </c>
      <c r="L106" s="2" t="s">
        <v>2046</v>
      </c>
      <c r="M106" s="2" t="s">
        <v>86</v>
      </c>
      <c r="N106" s="2" t="s">
        <v>2047</v>
      </c>
      <c r="O106" s="2" t="s">
        <v>1544</v>
      </c>
      <c r="P106" s="2" t="s">
        <v>2048</v>
      </c>
      <c r="Q106" s="2" t="s">
        <v>1702</v>
      </c>
      <c r="R106" s="2" t="s">
        <v>2049</v>
      </c>
      <c r="S106" s="2" t="s">
        <v>2050</v>
      </c>
      <c r="T106" s="2" t="s">
        <v>2051</v>
      </c>
      <c r="U106" s="2" t="s">
        <v>1894</v>
      </c>
      <c r="V106" s="2" t="s">
        <v>2052</v>
      </c>
      <c r="W106" s="2" t="s">
        <v>188</v>
      </c>
      <c r="X106" s="4">
        <v>34</v>
      </c>
      <c r="Y106" s="4">
        <v>1</v>
      </c>
      <c r="Z106" s="4">
        <v>1</v>
      </c>
      <c r="AA106" s="4">
        <v>2</v>
      </c>
      <c r="AB106" s="4">
        <v>8</v>
      </c>
      <c r="AC106" s="2" t="s">
        <v>189</v>
      </c>
      <c r="AD106" s="2" t="s">
        <v>165</v>
      </c>
      <c r="AE106" s="2" t="s">
        <v>190</v>
      </c>
      <c r="AF106" s="2" t="s">
        <v>86</v>
      </c>
      <c r="AG106" s="2" t="s">
        <v>86</v>
      </c>
      <c r="AH106" s="2" t="s">
        <v>191</v>
      </c>
      <c r="AI106" s="2" t="s">
        <v>192</v>
      </c>
      <c r="AJ106" s="2" t="s">
        <v>86</v>
      </c>
      <c r="AK106" s="2" t="s">
        <v>86</v>
      </c>
      <c r="AL106" s="4">
        <v>2020</v>
      </c>
      <c r="AM106" s="4">
        <v>56</v>
      </c>
      <c r="AN106" s="2" t="s">
        <v>86</v>
      </c>
      <c r="AO106" s="2" t="s">
        <v>86</v>
      </c>
      <c r="AP106" s="2" t="s">
        <v>86</v>
      </c>
      <c r="AQ106" s="2" t="s">
        <v>86</v>
      </c>
      <c r="AR106" s="2" t="s">
        <v>86</v>
      </c>
      <c r="AS106" s="4">
        <v>303</v>
      </c>
      <c r="AT106" s="4">
        <v>313</v>
      </c>
      <c r="AU106" s="2" t="s">
        <v>86</v>
      </c>
      <c r="AV106" s="2" t="s">
        <v>86</v>
      </c>
      <c r="AW106" s="2" t="s">
        <v>86</v>
      </c>
      <c r="AX106" s="4">
        <v>11</v>
      </c>
      <c r="AY106" s="2" t="s">
        <v>193</v>
      </c>
      <c r="AZ106" s="2" t="s">
        <v>194</v>
      </c>
      <c r="BA106" s="2" t="s">
        <v>93</v>
      </c>
      <c r="BB106" s="2" t="s">
        <v>195</v>
      </c>
      <c r="BC106" s="2" t="s">
        <v>86</v>
      </c>
      <c r="BD106" s="2" t="s">
        <v>86</v>
      </c>
      <c r="BE106" s="2" t="s">
        <v>86</v>
      </c>
      <c r="BF106" s="2" t="s">
        <v>86</v>
      </c>
      <c r="BG106" s="2" t="s">
        <v>95</v>
      </c>
      <c r="BH106" s="2" t="s">
        <v>2053</v>
      </c>
      <c r="BI106" s="2" t="str">
        <f>HYPERLINK("https%3A%2F%2Fwww.webofscience.com%2Fwos%2Fwoscc%2Ffull-record%2FWOS:000637180200025","View Full Record in Web of Science")</f>
        <v>View Full Record in Web of Science</v>
      </c>
    </row>
    <row r="107" spans="1:61" customFormat="1" ht="12.75" x14ac:dyDescent="0.2">
      <c r="A107" s="1">
        <v>103</v>
      </c>
      <c r="B107" s="1" t="s">
        <v>1068</v>
      </c>
      <c r="C107" s="1" t="s">
        <v>2054</v>
      </c>
      <c r="D107" s="2" t="s">
        <v>2055</v>
      </c>
      <c r="E107" s="2" t="s">
        <v>2056</v>
      </c>
      <c r="F107" s="3" t="str">
        <f>HYPERLINK("http://dx.doi.org/10.1016/j.rsma.2021.101650","http://dx.doi.org/10.1016/j.rsma.2021.101650")</f>
        <v>http://dx.doi.org/10.1016/j.rsma.2021.101650</v>
      </c>
      <c r="G107" s="2" t="s">
        <v>200</v>
      </c>
      <c r="H107" s="2" t="s">
        <v>2057</v>
      </c>
      <c r="I107" s="2" t="s">
        <v>2058</v>
      </c>
      <c r="J107" s="2" t="s">
        <v>2059</v>
      </c>
      <c r="K107" s="2" t="s">
        <v>68</v>
      </c>
      <c r="L107" s="2" t="s">
        <v>2060</v>
      </c>
      <c r="M107" s="2" t="s">
        <v>2061</v>
      </c>
      <c r="N107" s="2" t="s">
        <v>2062</v>
      </c>
      <c r="O107" s="2" t="s">
        <v>2063</v>
      </c>
      <c r="P107" s="2" t="s">
        <v>2064</v>
      </c>
      <c r="Q107" s="2" t="s">
        <v>2065</v>
      </c>
      <c r="R107" s="2" t="s">
        <v>2066</v>
      </c>
      <c r="S107" s="2" t="s">
        <v>2067</v>
      </c>
      <c r="T107" s="2" t="s">
        <v>2068</v>
      </c>
      <c r="U107" s="2" t="s">
        <v>2069</v>
      </c>
      <c r="V107" s="2" t="s">
        <v>2070</v>
      </c>
      <c r="W107" s="2" t="s">
        <v>80</v>
      </c>
      <c r="X107" s="4">
        <v>48</v>
      </c>
      <c r="Y107" s="4">
        <v>13</v>
      </c>
      <c r="Z107" s="4">
        <v>13</v>
      </c>
      <c r="AA107" s="4">
        <v>5</v>
      </c>
      <c r="AB107" s="4">
        <v>33</v>
      </c>
      <c r="AC107" s="2" t="s">
        <v>585</v>
      </c>
      <c r="AD107" s="2" t="s">
        <v>586</v>
      </c>
      <c r="AE107" s="2" t="s">
        <v>587</v>
      </c>
      <c r="AF107" s="2" t="s">
        <v>2071</v>
      </c>
      <c r="AG107" s="2" t="s">
        <v>86</v>
      </c>
      <c r="AH107" s="2" t="s">
        <v>86</v>
      </c>
      <c r="AI107" s="2" t="s">
        <v>2072</v>
      </c>
      <c r="AJ107" s="2" t="s">
        <v>2073</v>
      </c>
      <c r="AK107" s="2" t="s">
        <v>366</v>
      </c>
      <c r="AL107" s="4">
        <v>2021</v>
      </c>
      <c r="AM107" s="4">
        <v>43</v>
      </c>
      <c r="AN107" s="2" t="s">
        <v>86</v>
      </c>
      <c r="AO107" s="2" t="s">
        <v>86</v>
      </c>
      <c r="AP107" s="2" t="s">
        <v>86</v>
      </c>
      <c r="AQ107" s="2" t="s">
        <v>86</v>
      </c>
      <c r="AR107" s="2" t="s">
        <v>86</v>
      </c>
      <c r="AS107" s="2" t="s">
        <v>86</v>
      </c>
      <c r="AT107" s="2" t="s">
        <v>86</v>
      </c>
      <c r="AU107" s="4">
        <v>101650</v>
      </c>
      <c r="AV107" s="2" t="s">
        <v>86</v>
      </c>
      <c r="AW107" s="2" t="s">
        <v>468</v>
      </c>
      <c r="AX107" s="4">
        <v>9</v>
      </c>
      <c r="AY107" s="2" t="s">
        <v>2074</v>
      </c>
      <c r="AZ107" s="2" t="s">
        <v>92</v>
      </c>
      <c r="BA107" s="2" t="s">
        <v>442</v>
      </c>
      <c r="BB107" s="2" t="s">
        <v>2075</v>
      </c>
      <c r="BC107" s="2" t="s">
        <v>86</v>
      </c>
      <c r="BD107" s="2" t="s">
        <v>86</v>
      </c>
      <c r="BE107" s="2" t="s">
        <v>86</v>
      </c>
      <c r="BF107" s="2" t="s">
        <v>86</v>
      </c>
      <c r="BG107" s="2" t="s">
        <v>95</v>
      </c>
      <c r="BH107" s="2" t="s">
        <v>2076</v>
      </c>
      <c r="BI107" s="2" t="str">
        <f>HYPERLINK("https%3A%2F%2Fwww.webofscience.com%2Fwos%2Fwoscc%2Ffull-record%2FWOS:000632813800008","View Full Record in Web of Science")</f>
        <v>View Full Record in Web of Science</v>
      </c>
    </row>
    <row r="108" spans="1:61" customFormat="1" ht="12.75" x14ac:dyDescent="0.2">
      <c r="A108" s="1">
        <v>104</v>
      </c>
      <c r="B108" s="1" t="s">
        <v>1068</v>
      </c>
      <c r="C108" s="1" t="s">
        <v>2077</v>
      </c>
      <c r="D108" s="2" t="s">
        <v>2078</v>
      </c>
      <c r="E108" s="2" t="s">
        <v>2079</v>
      </c>
      <c r="F108" s="3" t="str">
        <f>HYPERLINK("http://dx.doi.org/10.1016/j.envpol.2021.116772","http://dx.doi.org/10.1016/j.envpol.2021.116772")</f>
        <v>http://dx.doi.org/10.1016/j.envpol.2021.116772</v>
      </c>
      <c r="G108" s="2" t="s">
        <v>200</v>
      </c>
      <c r="H108" s="2" t="s">
        <v>2080</v>
      </c>
      <c r="I108" s="2" t="s">
        <v>2081</v>
      </c>
      <c r="J108" s="2" t="s">
        <v>102</v>
      </c>
      <c r="K108" s="2" t="s">
        <v>68</v>
      </c>
      <c r="L108" s="2" t="s">
        <v>2082</v>
      </c>
      <c r="M108" s="2" t="s">
        <v>2083</v>
      </c>
      <c r="N108" s="2" t="s">
        <v>2084</v>
      </c>
      <c r="O108" s="2" t="s">
        <v>1211</v>
      </c>
      <c r="P108" s="2" t="s">
        <v>2085</v>
      </c>
      <c r="Q108" s="2" t="s">
        <v>2086</v>
      </c>
      <c r="R108" s="2" t="s">
        <v>2087</v>
      </c>
      <c r="S108" s="2" t="s">
        <v>2088</v>
      </c>
      <c r="T108" s="2" t="s">
        <v>2089</v>
      </c>
      <c r="U108" s="2" t="s">
        <v>2090</v>
      </c>
      <c r="V108" s="2" t="s">
        <v>2091</v>
      </c>
      <c r="W108" s="2" t="s">
        <v>80</v>
      </c>
      <c r="X108" s="4">
        <v>73</v>
      </c>
      <c r="Y108" s="4">
        <v>38</v>
      </c>
      <c r="Z108" s="4">
        <v>40</v>
      </c>
      <c r="AA108" s="4">
        <v>11</v>
      </c>
      <c r="AB108" s="4">
        <v>86</v>
      </c>
      <c r="AC108" s="2" t="s">
        <v>114</v>
      </c>
      <c r="AD108" s="2" t="s">
        <v>115</v>
      </c>
      <c r="AE108" s="2" t="s">
        <v>116</v>
      </c>
      <c r="AF108" s="2" t="s">
        <v>117</v>
      </c>
      <c r="AG108" s="2" t="s">
        <v>118</v>
      </c>
      <c r="AH108" s="2" t="s">
        <v>86</v>
      </c>
      <c r="AI108" s="2" t="s">
        <v>119</v>
      </c>
      <c r="AJ108" s="2" t="s">
        <v>120</v>
      </c>
      <c r="AK108" s="2" t="s">
        <v>1531</v>
      </c>
      <c r="AL108" s="4">
        <v>2021</v>
      </c>
      <c r="AM108" s="4">
        <v>277</v>
      </c>
      <c r="AN108" s="2" t="s">
        <v>86</v>
      </c>
      <c r="AO108" s="2" t="s">
        <v>86</v>
      </c>
      <c r="AP108" s="2" t="s">
        <v>86</v>
      </c>
      <c r="AQ108" s="2" t="s">
        <v>86</v>
      </c>
      <c r="AR108" s="2" t="s">
        <v>86</v>
      </c>
      <c r="AS108" s="2" t="s">
        <v>86</v>
      </c>
      <c r="AT108" s="2" t="s">
        <v>86</v>
      </c>
      <c r="AU108" s="4">
        <v>116772</v>
      </c>
      <c r="AV108" s="2" t="s">
        <v>86</v>
      </c>
      <c r="AW108" s="2" t="s">
        <v>1025</v>
      </c>
      <c r="AX108" s="4">
        <v>11</v>
      </c>
      <c r="AY108" s="2" t="s">
        <v>91</v>
      </c>
      <c r="AZ108" s="2" t="s">
        <v>92</v>
      </c>
      <c r="BA108" s="2" t="s">
        <v>93</v>
      </c>
      <c r="BB108" s="2" t="s">
        <v>2092</v>
      </c>
      <c r="BC108" s="4">
        <v>33711645</v>
      </c>
      <c r="BD108" s="2" t="s">
        <v>86</v>
      </c>
      <c r="BE108" s="2" t="s">
        <v>86</v>
      </c>
      <c r="BF108" s="2" t="s">
        <v>86</v>
      </c>
      <c r="BG108" s="2" t="s">
        <v>95</v>
      </c>
      <c r="BH108" s="2" t="s">
        <v>2093</v>
      </c>
      <c r="BI108" s="2" t="str">
        <f>HYPERLINK("https%3A%2F%2Fwww.webofscience.com%2Fwos%2Fwoscc%2Ffull-record%2FWOS:000637737100029","View Full Record in Web of Science")</f>
        <v>View Full Record in Web of Science</v>
      </c>
    </row>
    <row r="109" spans="1:61" ht="12.75" x14ac:dyDescent="0.2">
      <c r="A109" s="8">
        <v>105</v>
      </c>
      <c r="B109" s="8" t="s">
        <v>1049</v>
      </c>
      <c r="C109" s="8" t="s">
        <v>2094</v>
      </c>
      <c r="D109" s="9" t="s">
        <v>2095</v>
      </c>
      <c r="E109" s="9" t="s">
        <v>2096</v>
      </c>
      <c r="F109" s="11" t="str">
        <f>HYPERLINK("http://dx.doi.org/10.55730/1300-0179.3093","http://dx.doi.org/10.55730/1300-0179.3093")</f>
        <v>http://dx.doi.org/10.55730/1300-0179.3093</v>
      </c>
      <c r="G109" s="9" t="s">
        <v>200</v>
      </c>
      <c r="H109" s="9" t="s">
        <v>2097</v>
      </c>
      <c r="I109" s="9" t="s">
        <v>2098</v>
      </c>
      <c r="J109" s="9" t="s">
        <v>2099</v>
      </c>
      <c r="K109" s="9" t="s">
        <v>68</v>
      </c>
      <c r="L109" s="9" t="s">
        <v>2100</v>
      </c>
      <c r="M109" s="9" t="s">
        <v>2101</v>
      </c>
      <c r="N109" s="9" t="s">
        <v>2102</v>
      </c>
      <c r="O109" s="9" t="s">
        <v>2103</v>
      </c>
      <c r="P109" s="9" t="s">
        <v>2104</v>
      </c>
      <c r="Q109" s="9" t="s">
        <v>1634</v>
      </c>
      <c r="R109" s="9" t="s">
        <v>2105</v>
      </c>
      <c r="S109" s="9" t="s">
        <v>2106</v>
      </c>
      <c r="T109" s="9" t="s">
        <v>86</v>
      </c>
      <c r="U109" s="9" t="s">
        <v>86</v>
      </c>
      <c r="V109" s="9" t="s">
        <v>86</v>
      </c>
      <c r="W109" s="9" t="s">
        <v>80</v>
      </c>
      <c r="X109" s="12">
        <v>77</v>
      </c>
      <c r="Y109" s="12">
        <v>3</v>
      </c>
      <c r="Z109" s="12">
        <v>3</v>
      </c>
      <c r="AA109" s="12">
        <v>8</v>
      </c>
      <c r="AB109" s="12">
        <v>28</v>
      </c>
      <c r="AC109" s="9" t="s">
        <v>2107</v>
      </c>
      <c r="AD109" s="9" t="s">
        <v>932</v>
      </c>
      <c r="AE109" s="9" t="s">
        <v>2108</v>
      </c>
      <c r="AF109" s="9" t="s">
        <v>2109</v>
      </c>
      <c r="AG109" s="9" t="s">
        <v>2110</v>
      </c>
      <c r="AH109" s="9" t="s">
        <v>86</v>
      </c>
      <c r="AI109" s="9" t="s">
        <v>2111</v>
      </c>
      <c r="AJ109" s="9" t="s">
        <v>2112</v>
      </c>
      <c r="AK109" s="9" t="s">
        <v>86</v>
      </c>
      <c r="AL109" s="12">
        <v>2022</v>
      </c>
      <c r="AM109" s="12">
        <v>46</v>
      </c>
      <c r="AN109" s="12">
        <v>5</v>
      </c>
      <c r="AO109" s="9" t="s">
        <v>86</v>
      </c>
      <c r="AP109" s="9" t="s">
        <v>86</v>
      </c>
      <c r="AQ109" s="9" t="s">
        <v>86</v>
      </c>
      <c r="AR109" s="9" t="s">
        <v>86</v>
      </c>
      <c r="AS109" s="12">
        <v>397</v>
      </c>
      <c r="AT109" s="12">
        <v>408</v>
      </c>
      <c r="AU109" s="9" t="s">
        <v>86</v>
      </c>
      <c r="AV109" s="9" t="s">
        <v>86</v>
      </c>
      <c r="AW109" s="9" t="s">
        <v>86</v>
      </c>
      <c r="AX109" s="12">
        <v>13</v>
      </c>
      <c r="AY109" s="9" t="s">
        <v>2113</v>
      </c>
      <c r="AZ109" s="9" t="s">
        <v>92</v>
      </c>
      <c r="BA109" s="9" t="s">
        <v>2113</v>
      </c>
      <c r="BB109" s="9" t="s">
        <v>2114</v>
      </c>
      <c r="BC109" s="9" t="s">
        <v>86</v>
      </c>
      <c r="BD109" s="9" t="s">
        <v>1491</v>
      </c>
      <c r="BE109" s="9" t="s">
        <v>86</v>
      </c>
      <c r="BF109" s="9" t="s">
        <v>86</v>
      </c>
      <c r="BG109" s="9" t="s">
        <v>95</v>
      </c>
      <c r="BH109" s="9" t="s">
        <v>2115</v>
      </c>
      <c r="BI109" s="9" t="str">
        <f>HYPERLINK("https%3A%2F%2Fwww.webofscience.com%2Fwos%2Fwoscc%2Ffull-record%2FWOS:000858620600001","View Full Record in Web of Science")</f>
        <v>View Full Record in Web of Science</v>
      </c>
    </row>
    <row r="110" spans="1:61" customFormat="1" ht="12.75" x14ac:dyDescent="0.2">
      <c r="A110" s="1">
        <v>106</v>
      </c>
      <c r="B110" s="1" t="s">
        <v>1068</v>
      </c>
      <c r="C110" s="1" t="s">
        <v>2116</v>
      </c>
      <c r="D110" s="2" t="s">
        <v>2117</v>
      </c>
      <c r="E110" s="2" t="s">
        <v>86</v>
      </c>
      <c r="F110" s="2" t="s">
        <v>86</v>
      </c>
      <c r="G110" s="2" t="s">
        <v>176</v>
      </c>
      <c r="H110" s="2" t="s">
        <v>2118</v>
      </c>
      <c r="I110" s="2" t="s">
        <v>2119</v>
      </c>
      <c r="J110" s="2" t="s">
        <v>179</v>
      </c>
      <c r="K110" s="2" t="s">
        <v>68</v>
      </c>
      <c r="L110" s="2" t="s">
        <v>2120</v>
      </c>
      <c r="M110" s="2" t="s">
        <v>86</v>
      </c>
      <c r="N110" s="2" t="s">
        <v>2121</v>
      </c>
      <c r="O110" s="2" t="s">
        <v>2122</v>
      </c>
      <c r="P110" s="2" t="s">
        <v>2048</v>
      </c>
      <c r="Q110" s="2" t="s">
        <v>1702</v>
      </c>
      <c r="R110" s="2" t="s">
        <v>2049</v>
      </c>
      <c r="S110" s="2" t="s">
        <v>2050</v>
      </c>
      <c r="T110" s="2" t="s">
        <v>2123</v>
      </c>
      <c r="U110" s="2" t="s">
        <v>1706</v>
      </c>
      <c r="V110" s="2" t="s">
        <v>2124</v>
      </c>
      <c r="W110" s="2" t="s">
        <v>188</v>
      </c>
      <c r="X110" s="4">
        <v>21</v>
      </c>
      <c r="Y110" s="4">
        <v>5</v>
      </c>
      <c r="Z110" s="4">
        <v>5</v>
      </c>
      <c r="AA110" s="4">
        <v>2</v>
      </c>
      <c r="AB110" s="4">
        <v>7</v>
      </c>
      <c r="AC110" s="2" t="s">
        <v>189</v>
      </c>
      <c r="AD110" s="2" t="s">
        <v>165</v>
      </c>
      <c r="AE110" s="2" t="s">
        <v>190</v>
      </c>
      <c r="AF110" s="2" t="s">
        <v>86</v>
      </c>
      <c r="AG110" s="2" t="s">
        <v>86</v>
      </c>
      <c r="AH110" s="2" t="s">
        <v>191</v>
      </c>
      <c r="AI110" s="2" t="s">
        <v>192</v>
      </c>
      <c r="AJ110" s="2" t="s">
        <v>86</v>
      </c>
      <c r="AK110" s="2" t="s">
        <v>86</v>
      </c>
      <c r="AL110" s="4">
        <v>2020</v>
      </c>
      <c r="AM110" s="4">
        <v>56</v>
      </c>
      <c r="AN110" s="2" t="s">
        <v>86</v>
      </c>
      <c r="AO110" s="2" t="s">
        <v>86</v>
      </c>
      <c r="AP110" s="2" t="s">
        <v>86</v>
      </c>
      <c r="AQ110" s="2" t="s">
        <v>86</v>
      </c>
      <c r="AR110" s="2" t="s">
        <v>86</v>
      </c>
      <c r="AS110" s="4">
        <v>192</v>
      </c>
      <c r="AT110" s="4">
        <v>207</v>
      </c>
      <c r="AU110" s="2" t="s">
        <v>86</v>
      </c>
      <c r="AV110" s="2" t="s">
        <v>86</v>
      </c>
      <c r="AW110" s="2" t="s">
        <v>86</v>
      </c>
      <c r="AX110" s="4">
        <v>16</v>
      </c>
      <c r="AY110" s="2" t="s">
        <v>193</v>
      </c>
      <c r="AZ110" s="2" t="s">
        <v>194</v>
      </c>
      <c r="BA110" s="2" t="s">
        <v>93</v>
      </c>
      <c r="BB110" s="2" t="s">
        <v>195</v>
      </c>
      <c r="BC110" s="2" t="s">
        <v>86</v>
      </c>
      <c r="BD110" s="2" t="s">
        <v>86</v>
      </c>
      <c r="BE110" s="2" t="s">
        <v>86</v>
      </c>
      <c r="BF110" s="2" t="s">
        <v>86</v>
      </c>
      <c r="BG110" s="2" t="s">
        <v>95</v>
      </c>
      <c r="BH110" s="2" t="s">
        <v>2125</v>
      </c>
      <c r="BI110" s="2" t="str">
        <f>HYPERLINK("https%3A%2F%2Fwww.webofscience.com%2Fwos%2Fwoscc%2Ffull-record%2FWOS:000637180200018","View Full Record in Web of Science")</f>
        <v>View Full Record in Web of Science</v>
      </c>
    </row>
    <row r="111" spans="1:61" ht="12.75" x14ac:dyDescent="0.2">
      <c r="A111" s="8">
        <v>107</v>
      </c>
      <c r="B111" s="8" t="s">
        <v>1049</v>
      </c>
      <c r="C111" s="8" t="s">
        <v>2126</v>
      </c>
      <c r="D111" s="9" t="s">
        <v>2127</v>
      </c>
      <c r="E111" s="9" t="s">
        <v>2128</v>
      </c>
      <c r="F111" s="11" t="str">
        <f>HYPERLINK("http://dx.doi.org/10.1007/s10661-023-11426-z","http://dx.doi.org/10.1007/s10661-023-11426-z")</f>
        <v>http://dx.doi.org/10.1007/s10661-023-11426-z</v>
      </c>
      <c r="G111" s="9" t="s">
        <v>200</v>
      </c>
      <c r="H111" s="9" t="s">
        <v>2129</v>
      </c>
      <c r="I111" s="9" t="s">
        <v>2130</v>
      </c>
      <c r="J111" s="9" t="s">
        <v>401</v>
      </c>
      <c r="K111" s="9" t="s">
        <v>68</v>
      </c>
      <c r="L111" s="9" t="s">
        <v>2131</v>
      </c>
      <c r="M111" s="9" t="s">
        <v>2132</v>
      </c>
      <c r="N111" s="9" t="s">
        <v>2133</v>
      </c>
      <c r="O111" s="9" t="s">
        <v>2134</v>
      </c>
      <c r="P111" s="9" t="s">
        <v>889</v>
      </c>
      <c r="Q111" s="9" t="s">
        <v>74</v>
      </c>
      <c r="R111" s="9" t="s">
        <v>86</v>
      </c>
      <c r="S111" s="9" t="s">
        <v>86</v>
      </c>
      <c r="T111" s="9" t="s">
        <v>86</v>
      </c>
      <c r="U111" s="9" t="s">
        <v>86</v>
      </c>
      <c r="V111" s="9" t="s">
        <v>86</v>
      </c>
      <c r="W111" s="9" t="s">
        <v>80</v>
      </c>
      <c r="X111" s="12">
        <v>64</v>
      </c>
      <c r="Y111" s="12">
        <v>0</v>
      </c>
      <c r="Z111" s="12">
        <v>0</v>
      </c>
      <c r="AA111" s="12">
        <v>8</v>
      </c>
      <c r="AB111" s="12">
        <v>8</v>
      </c>
      <c r="AC111" s="9" t="s">
        <v>139</v>
      </c>
      <c r="AD111" s="9" t="s">
        <v>140</v>
      </c>
      <c r="AE111" s="9" t="s">
        <v>141</v>
      </c>
      <c r="AF111" s="9" t="s">
        <v>412</v>
      </c>
      <c r="AG111" s="9" t="s">
        <v>413</v>
      </c>
      <c r="AH111" s="9" t="s">
        <v>86</v>
      </c>
      <c r="AI111" s="9" t="s">
        <v>414</v>
      </c>
      <c r="AJ111" s="9" t="s">
        <v>415</v>
      </c>
      <c r="AK111" s="9" t="s">
        <v>342</v>
      </c>
      <c r="AL111" s="12">
        <v>2023</v>
      </c>
      <c r="AM111" s="12">
        <v>195</v>
      </c>
      <c r="AN111" s="12">
        <v>6</v>
      </c>
      <c r="AO111" s="9" t="s">
        <v>86</v>
      </c>
      <c r="AP111" s="9" t="s">
        <v>86</v>
      </c>
      <c r="AQ111" s="9" t="s">
        <v>86</v>
      </c>
      <c r="AR111" s="9" t="s">
        <v>86</v>
      </c>
      <c r="AS111" s="9" t="s">
        <v>86</v>
      </c>
      <c r="AT111" s="9" t="s">
        <v>86</v>
      </c>
      <c r="AU111" s="12">
        <v>791</v>
      </c>
      <c r="AV111" s="9" t="s">
        <v>86</v>
      </c>
      <c r="AW111" s="9" t="s">
        <v>86</v>
      </c>
      <c r="AX111" s="12">
        <v>13</v>
      </c>
      <c r="AY111" s="9" t="s">
        <v>91</v>
      </c>
      <c r="AZ111" s="9" t="s">
        <v>92</v>
      </c>
      <c r="BA111" s="9" t="s">
        <v>93</v>
      </c>
      <c r="BB111" s="9" t="s">
        <v>2135</v>
      </c>
      <c r="BC111" s="12">
        <v>37261625</v>
      </c>
      <c r="BD111" s="9" t="s">
        <v>86</v>
      </c>
      <c r="BE111" s="9" t="s">
        <v>86</v>
      </c>
      <c r="BF111" s="9" t="s">
        <v>86</v>
      </c>
      <c r="BG111" s="9" t="s">
        <v>95</v>
      </c>
      <c r="BH111" s="9" t="s">
        <v>2136</v>
      </c>
      <c r="BI111" s="9" t="str">
        <f>HYPERLINK("https%3A%2F%2Fwww.webofscience.com%2Fwos%2Fwoscc%2Ffull-record%2FWOS:001000394800001","View Full Record in Web of Science")</f>
        <v>View Full Record in Web of Science</v>
      </c>
    </row>
    <row r="112" spans="1:61" ht="12.75" x14ac:dyDescent="0.2">
      <c r="A112" s="8">
        <v>108</v>
      </c>
      <c r="B112" s="8" t="s">
        <v>1049</v>
      </c>
      <c r="C112" s="8" t="s">
        <v>2137</v>
      </c>
      <c r="D112" s="9" t="s">
        <v>2138</v>
      </c>
      <c r="E112" s="9" t="s">
        <v>2139</v>
      </c>
      <c r="F112" s="11" t="str">
        <f>HYPERLINK("http://dx.doi.org/10.1016/j.scitotenv.2021.150921","http://dx.doi.org/10.1016/j.scitotenv.2021.150921")</f>
        <v>http://dx.doi.org/10.1016/j.scitotenv.2021.150921</v>
      </c>
      <c r="G112" s="9" t="s">
        <v>200</v>
      </c>
      <c r="H112" s="9" t="s">
        <v>2140</v>
      </c>
      <c r="I112" s="9" t="s">
        <v>2141</v>
      </c>
      <c r="J112" s="9" t="s">
        <v>576</v>
      </c>
      <c r="K112" s="9" t="s">
        <v>68</v>
      </c>
      <c r="L112" s="9" t="s">
        <v>2142</v>
      </c>
      <c r="M112" s="9" t="s">
        <v>2143</v>
      </c>
      <c r="N112" s="9" t="s">
        <v>2144</v>
      </c>
      <c r="O112" s="9" t="s">
        <v>1422</v>
      </c>
      <c r="P112" s="9" t="s">
        <v>2145</v>
      </c>
      <c r="Q112" s="9" t="s">
        <v>1702</v>
      </c>
      <c r="R112" s="9" t="s">
        <v>2049</v>
      </c>
      <c r="S112" s="9" t="s">
        <v>2050</v>
      </c>
      <c r="T112" s="9" t="s">
        <v>2146</v>
      </c>
      <c r="U112" s="9" t="s">
        <v>1706</v>
      </c>
      <c r="V112" s="9" t="s">
        <v>2147</v>
      </c>
      <c r="W112" s="9" t="s">
        <v>80</v>
      </c>
      <c r="X112" s="12">
        <v>70</v>
      </c>
      <c r="Y112" s="12">
        <v>24</v>
      </c>
      <c r="Z112" s="12">
        <v>25</v>
      </c>
      <c r="AA112" s="12">
        <v>15</v>
      </c>
      <c r="AB112" s="12">
        <v>68</v>
      </c>
      <c r="AC112" s="9" t="s">
        <v>585</v>
      </c>
      <c r="AD112" s="9" t="s">
        <v>586</v>
      </c>
      <c r="AE112" s="9" t="s">
        <v>587</v>
      </c>
      <c r="AF112" s="9" t="s">
        <v>588</v>
      </c>
      <c r="AG112" s="9" t="s">
        <v>589</v>
      </c>
      <c r="AH112" s="9" t="s">
        <v>86</v>
      </c>
      <c r="AI112" s="9" t="s">
        <v>590</v>
      </c>
      <c r="AJ112" s="9" t="s">
        <v>591</v>
      </c>
      <c r="AK112" s="9" t="s">
        <v>611</v>
      </c>
      <c r="AL112" s="12">
        <v>2022</v>
      </c>
      <c r="AM112" s="12">
        <v>806</v>
      </c>
      <c r="AN112" s="9" t="s">
        <v>86</v>
      </c>
      <c r="AO112" s="12">
        <v>4</v>
      </c>
      <c r="AP112" s="9" t="s">
        <v>86</v>
      </c>
      <c r="AQ112" s="9" t="s">
        <v>86</v>
      </c>
      <c r="AR112" s="9" t="s">
        <v>86</v>
      </c>
      <c r="AS112" s="9" t="s">
        <v>86</v>
      </c>
      <c r="AT112" s="9" t="s">
        <v>86</v>
      </c>
      <c r="AU112" s="12">
        <v>150921</v>
      </c>
      <c r="AV112" s="9" t="s">
        <v>86</v>
      </c>
      <c r="AW112" s="9" t="s">
        <v>1781</v>
      </c>
      <c r="AX112" s="12">
        <v>10</v>
      </c>
      <c r="AY112" s="9" t="s">
        <v>91</v>
      </c>
      <c r="AZ112" s="9" t="s">
        <v>92</v>
      </c>
      <c r="BA112" s="9" t="s">
        <v>93</v>
      </c>
      <c r="BB112" s="9" t="s">
        <v>2148</v>
      </c>
      <c r="BC112" s="12">
        <v>34653472</v>
      </c>
      <c r="BD112" s="9" t="s">
        <v>86</v>
      </c>
      <c r="BE112" s="9" t="s">
        <v>86</v>
      </c>
      <c r="BF112" s="9" t="s">
        <v>86</v>
      </c>
      <c r="BG112" s="9" t="s">
        <v>95</v>
      </c>
      <c r="BH112" s="9" t="s">
        <v>2149</v>
      </c>
      <c r="BI112" s="9" t="str">
        <f>HYPERLINK("https%3A%2F%2Fwww.webofscience.com%2Fwos%2Fwoscc%2Ffull-record%2FWOS:000740226600013","View Full Record in Web of Science")</f>
        <v>View Full Record in Web of Science</v>
      </c>
    </row>
    <row r="113" spans="1:61" customFormat="1" ht="12.75" x14ac:dyDescent="0.2">
      <c r="A113" s="1">
        <v>109</v>
      </c>
      <c r="B113" s="1" t="s">
        <v>1068</v>
      </c>
      <c r="C113" s="1" t="s">
        <v>2150</v>
      </c>
      <c r="D113" s="2" t="s">
        <v>2151</v>
      </c>
      <c r="E113" s="2" t="s">
        <v>2152</v>
      </c>
      <c r="F113" s="3" t="str">
        <f>HYPERLINK("http://dx.doi.org/10.1016/j.marpolbul.2017.07.023","http://dx.doi.org/10.1016/j.marpolbul.2017.07.023")</f>
        <v>http://dx.doi.org/10.1016/j.marpolbul.2017.07.023</v>
      </c>
      <c r="G113" s="2" t="s">
        <v>200</v>
      </c>
      <c r="H113" s="2" t="s">
        <v>2153</v>
      </c>
      <c r="I113" s="2" t="s">
        <v>2154</v>
      </c>
      <c r="J113" s="2" t="s">
        <v>424</v>
      </c>
      <c r="K113" s="2" t="s">
        <v>68</v>
      </c>
      <c r="L113" s="2" t="s">
        <v>2155</v>
      </c>
      <c r="M113" s="2" t="s">
        <v>2156</v>
      </c>
      <c r="N113" s="2" t="s">
        <v>2157</v>
      </c>
      <c r="O113" s="2" t="s">
        <v>2158</v>
      </c>
      <c r="P113" s="2" t="s">
        <v>73</v>
      </c>
      <c r="Q113" s="2" t="s">
        <v>2159</v>
      </c>
      <c r="R113" s="2" t="s">
        <v>2160</v>
      </c>
      <c r="S113" s="2" t="s">
        <v>2161</v>
      </c>
      <c r="T113" s="2" t="s">
        <v>86</v>
      </c>
      <c r="U113" s="2" t="s">
        <v>86</v>
      </c>
      <c r="V113" s="2" t="s">
        <v>86</v>
      </c>
      <c r="W113" s="2" t="s">
        <v>80</v>
      </c>
      <c r="X113" s="4">
        <v>38</v>
      </c>
      <c r="Y113" s="4">
        <v>45</v>
      </c>
      <c r="Z113" s="4">
        <v>47</v>
      </c>
      <c r="AA113" s="4">
        <v>5</v>
      </c>
      <c r="AB113" s="4">
        <v>95</v>
      </c>
      <c r="AC113" s="2" t="s">
        <v>237</v>
      </c>
      <c r="AD113" s="2" t="s">
        <v>115</v>
      </c>
      <c r="AE113" s="2" t="s">
        <v>238</v>
      </c>
      <c r="AF113" s="2" t="s">
        <v>436</v>
      </c>
      <c r="AG113" s="2" t="s">
        <v>437</v>
      </c>
      <c r="AH113" s="2" t="s">
        <v>86</v>
      </c>
      <c r="AI113" s="2" t="s">
        <v>438</v>
      </c>
      <c r="AJ113" s="2" t="s">
        <v>439</v>
      </c>
      <c r="AK113" s="2" t="s">
        <v>1574</v>
      </c>
      <c r="AL113" s="4">
        <v>2017</v>
      </c>
      <c r="AM113" s="4">
        <v>124</v>
      </c>
      <c r="AN113" s="4">
        <v>1</v>
      </c>
      <c r="AO113" s="2" t="s">
        <v>86</v>
      </c>
      <c r="AP113" s="2" t="s">
        <v>86</v>
      </c>
      <c r="AQ113" s="2" t="s">
        <v>86</v>
      </c>
      <c r="AR113" s="2" t="s">
        <v>86</v>
      </c>
      <c r="AS113" s="4">
        <v>147</v>
      </c>
      <c r="AT113" s="4">
        <v>154</v>
      </c>
      <c r="AU113" s="2" t="s">
        <v>86</v>
      </c>
      <c r="AV113" s="2" t="s">
        <v>86</v>
      </c>
      <c r="AW113" s="2" t="s">
        <v>86</v>
      </c>
      <c r="AX113" s="4">
        <v>8</v>
      </c>
      <c r="AY113" s="2" t="s">
        <v>441</v>
      </c>
      <c r="AZ113" s="2" t="s">
        <v>92</v>
      </c>
      <c r="BA113" s="2" t="s">
        <v>442</v>
      </c>
      <c r="BB113" s="2" t="s">
        <v>2162</v>
      </c>
      <c r="BC113" s="4">
        <v>28716475</v>
      </c>
      <c r="BD113" s="2" t="s">
        <v>86</v>
      </c>
      <c r="BE113" s="2" t="s">
        <v>86</v>
      </c>
      <c r="BF113" s="2" t="s">
        <v>86</v>
      </c>
      <c r="BG113" s="2" t="s">
        <v>95</v>
      </c>
      <c r="BH113" s="2" t="s">
        <v>2163</v>
      </c>
      <c r="BI113" s="2" t="str">
        <f>HYPERLINK("https%3A%2F%2Fwww.webofscience.com%2Fwos%2Fwoscc%2Ffull-record%2FWOS:000415391200030","View Full Record in Web of Science")</f>
        <v>View Full Record in Web of Science</v>
      </c>
    </row>
    <row r="114" spans="1:61" ht="12.75" x14ac:dyDescent="0.2">
      <c r="A114" s="8">
        <v>110</v>
      </c>
      <c r="B114" s="8" t="s">
        <v>1049</v>
      </c>
      <c r="C114" s="8" t="s">
        <v>2164</v>
      </c>
      <c r="D114" s="9" t="s">
        <v>2165</v>
      </c>
      <c r="E114" s="9" t="s">
        <v>2166</v>
      </c>
      <c r="F114" s="11" t="str">
        <f>HYPERLINK("http://dx.doi.org/10.1016/j.marpolbul.2022.113331","http://dx.doi.org/10.1016/j.marpolbul.2022.113331")</f>
        <v>http://dx.doi.org/10.1016/j.marpolbul.2022.113331</v>
      </c>
      <c r="G114" s="9" t="s">
        <v>200</v>
      </c>
      <c r="H114" s="9" t="s">
        <v>2167</v>
      </c>
      <c r="I114" s="9" t="s">
        <v>2168</v>
      </c>
      <c r="J114" s="9" t="s">
        <v>424</v>
      </c>
      <c r="K114" s="9" t="s">
        <v>68</v>
      </c>
      <c r="L114" s="9" t="s">
        <v>2169</v>
      </c>
      <c r="M114" s="9" t="s">
        <v>2170</v>
      </c>
      <c r="N114" s="9" t="s">
        <v>2171</v>
      </c>
      <c r="O114" s="9" t="s">
        <v>1211</v>
      </c>
      <c r="P114" s="9" t="s">
        <v>2104</v>
      </c>
      <c r="Q114" s="9" t="s">
        <v>1634</v>
      </c>
      <c r="R114" s="9" t="s">
        <v>2172</v>
      </c>
      <c r="S114" s="9" t="s">
        <v>1963</v>
      </c>
      <c r="T114" s="9" t="s">
        <v>86</v>
      </c>
      <c r="U114" s="9" t="s">
        <v>86</v>
      </c>
      <c r="V114" s="9" t="s">
        <v>86</v>
      </c>
      <c r="W114" s="9" t="s">
        <v>80</v>
      </c>
      <c r="X114" s="12">
        <v>63</v>
      </c>
      <c r="Y114" s="12">
        <v>10</v>
      </c>
      <c r="Z114" s="12">
        <v>10</v>
      </c>
      <c r="AA114" s="12">
        <v>4</v>
      </c>
      <c r="AB114" s="12">
        <v>37</v>
      </c>
      <c r="AC114" s="9" t="s">
        <v>237</v>
      </c>
      <c r="AD114" s="9" t="s">
        <v>115</v>
      </c>
      <c r="AE114" s="9" t="s">
        <v>238</v>
      </c>
      <c r="AF114" s="9" t="s">
        <v>436</v>
      </c>
      <c r="AG114" s="9" t="s">
        <v>437</v>
      </c>
      <c r="AH114" s="9" t="s">
        <v>86</v>
      </c>
      <c r="AI114" s="9" t="s">
        <v>438</v>
      </c>
      <c r="AJ114" s="9" t="s">
        <v>439</v>
      </c>
      <c r="AK114" s="9" t="s">
        <v>146</v>
      </c>
      <c r="AL114" s="12">
        <v>2022</v>
      </c>
      <c r="AM114" s="12">
        <v>175</v>
      </c>
      <c r="AN114" s="9" t="s">
        <v>86</v>
      </c>
      <c r="AO114" s="9" t="s">
        <v>86</v>
      </c>
      <c r="AP114" s="9" t="s">
        <v>86</v>
      </c>
      <c r="AQ114" s="9" t="s">
        <v>86</v>
      </c>
      <c r="AR114" s="9" t="s">
        <v>86</v>
      </c>
      <c r="AS114" s="9" t="s">
        <v>86</v>
      </c>
      <c r="AT114" s="9" t="s">
        <v>86</v>
      </c>
      <c r="AU114" s="12">
        <v>113331</v>
      </c>
      <c r="AV114" s="9" t="s">
        <v>86</v>
      </c>
      <c r="AW114" s="9" t="s">
        <v>268</v>
      </c>
      <c r="AX114" s="12">
        <v>8</v>
      </c>
      <c r="AY114" s="9" t="s">
        <v>441</v>
      </c>
      <c r="AZ114" s="9" t="s">
        <v>92</v>
      </c>
      <c r="BA114" s="9" t="s">
        <v>442</v>
      </c>
      <c r="BB114" s="9" t="s">
        <v>2173</v>
      </c>
      <c r="BC114" s="12">
        <v>35066412</v>
      </c>
      <c r="BD114" s="9" t="s">
        <v>86</v>
      </c>
      <c r="BE114" s="9" t="s">
        <v>86</v>
      </c>
      <c r="BF114" s="9" t="s">
        <v>86</v>
      </c>
      <c r="BG114" s="9" t="s">
        <v>95</v>
      </c>
      <c r="BH114" s="9" t="s">
        <v>2174</v>
      </c>
      <c r="BI114" s="9" t="str">
        <f>HYPERLINK("https%3A%2F%2Fwww.webofscience.com%2Fwos%2Fwoscc%2Ffull-record%2FWOS:000745615600002","View Full Record in Web of Science")</f>
        <v>View Full Record in Web of Science</v>
      </c>
    </row>
    <row r="115" spans="1:61" customFormat="1" ht="12.75" x14ac:dyDescent="0.2">
      <c r="A115" s="1">
        <v>111</v>
      </c>
      <c r="B115" s="1" t="s">
        <v>1068</v>
      </c>
      <c r="C115" s="1" t="s">
        <v>2175</v>
      </c>
      <c r="D115" s="2" t="s">
        <v>2176</v>
      </c>
      <c r="E115" s="2" t="s">
        <v>86</v>
      </c>
      <c r="F115" s="2" t="s">
        <v>86</v>
      </c>
      <c r="G115" s="2" t="s">
        <v>176</v>
      </c>
      <c r="H115" s="2" t="s">
        <v>2177</v>
      </c>
      <c r="I115" s="2" t="s">
        <v>2178</v>
      </c>
      <c r="J115" s="2" t="s">
        <v>179</v>
      </c>
      <c r="K115" s="2" t="s">
        <v>68</v>
      </c>
      <c r="L115" s="2" t="s">
        <v>2179</v>
      </c>
      <c r="M115" s="2" t="s">
        <v>2180</v>
      </c>
      <c r="N115" s="2" t="s">
        <v>2181</v>
      </c>
      <c r="O115" s="2" t="s">
        <v>1700</v>
      </c>
      <c r="P115" s="2" t="s">
        <v>2048</v>
      </c>
      <c r="Q115" s="2" t="s">
        <v>1702</v>
      </c>
      <c r="R115" s="2" t="s">
        <v>2049</v>
      </c>
      <c r="S115" s="2" t="s">
        <v>2050</v>
      </c>
      <c r="T115" s="2" t="s">
        <v>2182</v>
      </c>
      <c r="U115" s="2" t="s">
        <v>1706</v>
      </c>
      <c r="V115" s="2" t="s">
        <v>2183</v>
      </c>
      <c r="W115" s="2" t="s">
        <v>188</v>
      </c>
      <c r="X115" s="4">
        <v>34</v>
      </c>
      <c r="Y115" s="4">
        <v>7</v>
      </c>
      <c r="Z115" s="4">
        <v>7</v>
      </c>
      <c r="AA115" s="4">
        <v>2</v>
      </c>
      <c r="AB115" s="4">
        <v>5</v>
      </c>
      <c r="AC115" s="2" t="s">
        <v>189</v>
      </c>
      <c r="AD115" s="2" t="s">
        <v>165</v>
      </c>
      <c r="AE115" s="2" t="s">
        <v>190</v>
      </c>
      <c r="AF115" s="2" t="s">
        <v>86</v>
      </c>
      <c r="AG115" s="2" t="s">
        <v>86</v>
      </c>
      <c r="AH115" s="2" t="s">
        <v>191</v>
      </c>
      <c r="AI115" s="2" t="s">
        <v>192</v>
      </c>
      <c r="AJ115" s="2" t="s">
        <v>86</v>
      </c>
      <c r="AK115" s="2" t="s">
        <v>86</v>
      </c>
      <c r="AL115" s="4">
        <v>2020</v>
      </c>
      <c r="AM115" s="4">
        <v>56</v>
      </c>
      <c r="AN115" s="2" t="s">
        <v>86</v>
      </c>
      <c r="AO115" s="2" t="s">
        <v>86</v>
      </c>
      <c r="AP115" s="2" t="s">
        <v>86</v>
      </c>
      <c r="AQ115" s="2" t="s">
        <v>86</v>
      </c>
      <c r="AR115" s="2" t="s">
        <v>86</v>
      </c>
      <c r="AS115" s="4">
        <v>314</v>
      </c>
      <c r="AT115" s="4">
        <v>325</v>
      </c>
      <c r="AU115" s="2" t="s">
        <v>86</v>
      </c>
      <c r="AV115" s="2" t="s">
        <v>86</v>
      </c>
      <c r="AW115" s="2" t="s">
        <v>86</v>
      </c>
      <c r="AX115" s="4">
        <v>12</v>
      </c>
      <c r="AY115" s="2" t="s">
        <v>193</v>
      </c>
      <c r="AZ115" s="2" t="s">
        <v>194</v>
      </c>
      <c r="BA115" s="2" t="s">
        <v>93</v>
      </c>
      <c r="BB115" s="2" t="s">
        <v>195</v>
      </c>
      <c r="BC115" s="2" t="s">
        <v>86</v>
      </c>
      <c r="BD115" s="2" t="s">
        <v>86</v>
      </c>
      <c r="BE115" s="2" t="s">
        <v>86</v>
      </c>
      <c r="BF115" s="2" t="s">
        <v>86</v>
      </c>
      <c r="BG115" s="2" t="s">
        <v>95</v>
      </c>
      <c r="BH115" s="2" t="s">
        <v>2184</v>
      </c>
      <c r="BI115" s="2" t="str">
        <f>HYPERLINK("https%3A%2F%2Fwww.webofscience.com%2Fwos%2Fwoscc%2Ffull-record%2FWOS:000637180200026","View Full Record in Web of Science")</f>
        <v>View Full Record in Web of Science</v>
      </c>
    </row>
    <row r="116" spans="1:61" ht="12.75" x14ac:dyDescent="0.2">
      <c r="A116" s="8">
        <v>112</v>
      </c>
      <c r="B116" s="8" t="s">
        <v>1049</v>
      </c>
      <c r="C116" s="8" t="s">
        <v>2185</v>
      </c>
      <c r="D116" s="9" t="s">
        <v>2186</v>
      </c>
      <c r="E116" s="9" t="s">
        <v>2187</v>
      </c>
      <c r="F116" s="11" t="str">
        <f>HYPERLINK("http://dx.doi.org/10.1007/s11356-020-10424-9","http://dx.doi.org/10.1007/s11356-020-10424-9")</f>
        <v>http://dx.doi.org/10.1007/s11356-020-10424-9</v>
      </c>
      <c r="G116" s="9" t="s">
        <v>200</v>
      </c>
      <c r="H116" s="9" t="s">
        <v>2188</v>
      </c>
      <c r="I116" s="9" t="s">
        <v>2189</v>
      </c>
      <c r="J116" s="9" t="s">
        <v>67</v>
      </c>
      <c r="K116" s="9" t="s">
        <v>68</v>
      </c>
      <c r="L116" s="9" t="s">
        <v>2190</v>
      </c>
      <c r="M116" s="9" t="s">
        <v>2191</v>
      </c>
      <c r="N116" s="9" t="s">
        <v>2192</v>
      </c>
      <c r="O116" s="9" t="s">
        <v>2193</v>
      </c>
      <c r="P116" s="9" t="s">
        <v>2194</v>
      </c>
      <c r="Q116" s="9" t="s">
        <v>2195</v>
      </c>
      <c r="R116" s="9" t="s">
        <v>2196</v>
      </c>
      <c r="S116" s="9" t="s">
        <v>2197</v>
      </c>
      <c r="T116" s="9" t="s">
        <v>2198</v>
      </c>
      <c r="U116" s="9" t="s">
        <v>2199</v>
      </c>
      <c r="V116" s="9" t="s">
        <v>2200</v>
      </c>
      <c r="W116" s="9" t="s">
        <v>80</v>
      </c>
      <c r="X116" s="12">
        <v>71</v>
      </c>
      <c r="Y116" s="12">
        <v>23</v>
      </c>
      <c r="Z116" s="12">
        <v>24</v>
      </c>
      <c r="AA116" s="12">
        <v>17</v>
      </c>
      <c r="AB116" s="12">
        <v>131</v>
      </c>
      <c r="AC116" s="9" t="s">
        <v>81</v>
      </c>
      <c r="AD116" s="9" t="s">
        <v>82</v>
      </c>
      <c r="AE116" s="9" t="s">
        <v>83</v>
      </c>
      <c r="AF116" s="9" t="s">
        <v>84</v>
      </c>
      <c r="AG116" s="9" t="s">
        <v>85</v>
      </c>
      <c r="AH116" s="9" t="s">
        <v>86</v>
      </c>
      <c r="AI116" s="9" t="s">
        <v>87</v>
      </c>
      <c r="AJ116" s="9" t="s">
        <v>88</v>
      </c>
      <c r="AK116" s="9" t="s">
        <v>217</v>
      </c>
      <c r="AL116" s="12">
        <v>2020</v>
      </c>
      <c r="AM116" s="12">
        <v>27</v>
      </c>
      <c r="AN116" s="12">
        <v>36</v>
      </c>
      <c r="AO116" s="9" t="s">
        <v>86</v>
      </c>
      <c r="AP116" s="9" t="s">
        <v>86</v>
      </c>
      <c r="AQ116" s="9" t="s">
        <v>86</v>
      </c>
      <c r="AR116" s="9" t="s">
        <v>86</v>
      </c>
      <c r="AS116" s="12">
        <v>45688</v>
      </c>
      <c r="AT116" s="12">
        <v>45698</v>
      </c>
      <c r="AU116" s="9" t="s">
        <v>86</v>
      </c>
      <c r="AV116" s="9" t="s">
        <v>86</v>
      </c>
      <c r="AW116" s="9" t="s">
        <v>2201</v>
      </c>
      <c r="AX116" s="12">
        <v>11</v>
      </c>
      <c r="AY116" s="9" t="s">
        <v>91</v>
      </c>
      <c r="AZ116" s="9" t="s">
        <v>92</v>
      </c>
      <c r="BA116" s="9" t="s">
        <v>93</v>
      </c>
      <c r="BB116" s="9" t="s">
        <v>2202</v>
      </c>
      <c r="BC116" s="12">
        <v>32803600</v>
      </c>
      <c r="BD116" s="9" t="s">
        <v>86</v>
      </c>
      <c r="BE116" s="9" t="s">
        <v>86</v>
      </c>
      <c r="BF116" s="9" t="s">
        <v>86</v>
      </c>
      <c r="BG116" s="9" t="s">
        <v>95</v>
      </c>
      <c r="BH116" s="9" t="s">
        <v>2203</v>
      </c>
      <c r="BI116" s="9" t="str">
        <f>HYPERLINK("https%3A%2F%2Fwww.webofscience.com%2Fwos%2Fwoscc%2Ffull-record%2FWOS:000559954300011","View Full Record in Web of Science")</f>
        <v>View Full Record in Web of Science</v>
      </c>
    </row>
    <row r="117" spans="1:61" customFormat="1" ht="12.75" x14ac:dyDescent="0.2">
      <c r="A117" s="1">
        <v>113</v>
      </c>
      <c r="B117" s="1" t="s">
        <v>1068</v>
      </c>
      <c r="C117" s="1" t="s">
        <v>2204</v>
      </c>
      <c r="D117" s="2" t="s">
        <v>2205</v>
      </c>
      <c r="E117" s="2" t="s">
        <v>2206</v>
      </c>
      <c r="F117" s="3" t="str">
        <f>HYPERLINK("http://dx.doi.org/10.1016/j.marpolbul.2022.114248","http://dx.doi.org/10.1016/j.marpolbul.2022.114248")</f>
        <v>http://dx.doi.org/10.1016/j.marpolbul.2022.114248</v>
      </c>
      <c r="G117" s="2" t="s">
        <v>200</v>
      </c>
      <c r="H117" s="2" t="s">
        <v>2207</v>
      </c>
      <c r="I117" s="2" t="s">
        <v>2208</v>
      </c>
      <c r="J117" s="2" t="s">
        <v>424</v>
      </c>
      <c r="K117" s="2" t="s">
        <v>68</v>
      </c>
      <c r="L117" s="2" t="s">
        <v>2209</v>
      </c>
      <c r="M117" s="2" t="s">
        <v>2210</v>
      </c>
      <c r="N117" s="2" t="s">
        <v>2211</v>
      </c>
      <c r="O117" s="2" t="s">
        <v>2212</v>
      </c>
      <c r="P117" s="2" t="s">
        <v>2213</v>
      </c>
      <c r="Q117" s="2" t="s">
        <v>913</v>
      </c>
      <c r="R117" s="2" t="s">
        <v>2214</v>
      </c>
      <c r="S117" s="2" t="s">
        <v>2215</v>
      </c>
      <c r="T117" s="2" t="s">
        <v>2216</v>
      </c>
      <c r="U117" s="2" t="s">
        <v>2217</v>
      </c>
      <c r="V117" s="2" t="s">
        <v>2218</v>
      </c>
      <c r="W117" s="2" t="s">
        <v>80</v>
      </c>
      <c r="X117" s="4">
        <v>89</v>
      </c>
      <c r="Y117" s="4">
        <v>1</v>
      </c>
      <c r="Z117" s="4">
        <v>1</v>
      </c>
      <c r="AA117" s="4">
        <v>5</v>
      </c>
      <c r="AB117" s="4">
        <v>5</v>
      </c>
      <c r="AC117" s="2" t="s">
        <v>237</v>
      </c>
      <c r="AD117" s="2" t="s">
        <v>115</v>
      </c>
      <c r="AE117" s="2" t="s">
        <v>238</v>
      </c>
      <c r="AF117" s="2" t="s">
        <v>436</v>
      </c>
      <c r="AG117" s="2" t="s">
        <v>437</v>
      </c>
      <c r="AH117" s="2" t="s">
        <v>86</v>
      </c>
      <c r="AI117" s="2" t="s">
        <v>438</v>
      </c>
      <c r="AJ117" s="2" t="s">
        <v>439</v>
      </c>
      <c r="AK117" s="2" t="s">
        <v>217</v>
      </c>
      <c r="AL117" s="4">
        <v>2022</v>
      </c>
      <c r="AM117" s="4">
        <v>185</v>
      </c>
      <c r="AN117" s="2" t="s">
        <v>86</v>
      </c>
      <c r="AO117" s="2" t="s">
        <v>86</v>
      </c>
      <c r="AP117" s="2" t="s">
        <v>86</v>
      </c>
      <c r="AQ117" s="2" t="s">
        <v>86</v>
      </c>
      <c r="AR117" s="2" t="s">
        <v>86</v>
      </c>
      <c r="AS117" s="2" t="s">
        <v>86</v>
      </c>
      <c r="AT117" s="2" t="s">
        <v>86</v>
      </c>
      <c r="AU117" s="4">
        <v>114248</v>
      </c>
      <c r="AV117" s="2" t="s">
        <v>86</v>
      </c>
      <c r="AW117" s="2" t="s">
        <v>657</v>
      </c>
      <c r="AX117" s="4">
        <v>12</v>
      </c>
      <c r="AY117" s="2" t="s">
        <v>441</v>
      </c>
      <c r="AZ117" s="2" t="s">
        <v>92</v>
      </c>
      <c r="BA117" s="2" t="s">
        <v>442</v>
      </c>
      <c r="BB117" s="2" t="s">
        <v>2219</v>
      </c>
      <c r="BC117" s="4">
        <v>36306711</v>
      </c>
      <c r="BD117" s="2" t="s">
        <v>86</v>
      </c>
      <c r="BE117" s="2" t="s">
        <v>86</v>
      </c>
      <c r="BF117" s="2" t="s">
        <v>86</v>
      </c>
      <c r="BG117" s="2" t="s">
        <v>95</v>
      </c>
      <c r="BH117" s="2" t="s">
        <v>2220</v>
      </c>
      <c r="BI117" s="2" t="str">
        <f>HYPERLINK("https%3A%2F%2Fwww.webofscience.com%2Fwos%2Fwoscc%2Ffull-record%2FWOS:000933360900002","View Full Record in Web of Science")</f>
        <v>View Full Record in Web of Science</v>
      </c>
    </row>
    <row r="118" spans="1:61" customFormat="1" ht="12.75" x14ac:dyDescent="0.2">
      <c r="A118" s="1">
        <v>114</v>
      </c>
      <c r="B118" s="1" t="s">
        <v>1068</v>
      </c>
      <c r="C118" s="1" t="s">
        <v>2221</v>
      </c>
      <c r="D118" s="2" t="s">
        <v>2222</v>
      </c>
      <c r="E118" s="2" t="s">
        <v>2223</v>
      </c>
      <c r="F118" s="3" t="str">
        <f>HYPERLINK("http://dx.doi.org/10.3390/microorganisms10122441","http://dx.doi.org/10.3390/microorganisms10122441")</f>
        <v>http://dx.doi.org/10.3390/microorganisms10122441</v>
      </c>
      <c r="G118" s="2" t="s">
        <v>200</v>
      </c>
      <c r="H118" s="2" t="s">
        <v>2224</v>
      </c>
      <c r="I118" s="2" t="s">
        <v>2225</v>
      </c>
      <c r="J118" s="2" t="s">
        <v>2226</v>
      </c>
      <c r="K118" s="2" t="s">
        <v>68</v>
      </c>
      <c r="L118" s="2" t="s">
        <v>2227</v>
      </c>
      <c r="M118" s="2" t="s">
        <v>2228</v>
      </c>
      <c r="N118" s="2" t="s">
        <v>2229</v>
      </c>
      <c r="O118" s="2" t="s">
        <v>2230</v>
      </c>
      <c r="P118" s="2" t="s">
        <v>2231</v>
      </c>
      <c r="Q118" s="2" t="s">
        <v>2232</v>
      </c>
      <c r="R118" s="2" t="s">
        <v>2233</v>
      </c>
      <c r="S118" s="2" t="s">
        <v>2234</v>
      </c>
      <c r="T118" s="2" t="s">
        <v>86</v>
      </c>
      <c r="U118" s="2" t="s">
        <v>86</v>
      </c>
      <c r="V118" s="2" t="s">
        <v>86</v>
      </c>
      <c r="W118" s="2" t="s">
        <v>80</v>
      </c>
      <c r="X118" s="4">
        <v>82</v>
      </c>
      <c r="Y118" s="4">
        <v>1</v>
      </c>
      <c r="Z118" s="4">
        <v>1</v>
      </c>
      <c r="AA118" s="4">
        <v>16</v>
      </c>
      <c r="AB118" s="4">
        <v>18</v>
      </c>
      <c r="AC118" s="2" t="s">
        <v>211</v>
      </c>
      <c r="AD118" s="2" t="s">
        <v>212</v>
      </c>
      <c r="AE118" s="2" t="s">
        <v>213</v>
      </c>
      <c r="AF118" s="2" t="s">
        <v>86</v>
      </c>
      <c r="AG118" s="2" t="s">
        <v>2235</v>
      </c>
      <c r="AH118" s="2" t="s">
        <v>86</v>
      </c>
      <c r="AI118" s="2" t="s">
        <v>2226</v>
      </c>
      <c r="AJ118" s="2" t="s">
        <v>2236</v>
      </c>
      <c r="AK118" s="2" t="s">
        <v>217</v>
      </c>
      <c r="AL118" s="4">
        <v>2022</v>
      </c>
      <c r="AM118" s="4">
        <v>10</v>
      </c>
      <c r="AN118" s="4">
        <v>12</v>
      </c>
      <c r="AO118" s="2" t="s">
        <v>86</v>
      </c>
      <c r="AP118" s="2" t="s">
        <v>86</v>
      </c>
      <c r="AQ118" s="2" t="s">
        <v>86</v>
      </c>
      <c r="AR118" s="2" t="s">
        <v>86</v>
      </c>
      <c r="AS118" s="2" t="s">
        <v>86</v>
      </c>
      <c r="AT118" s="2" t="s">
        <v>86</v>
      </c>
      <c r="AU118" s="4">
        <v>2441</v>
      </c>
      <c r="AV118" s="2" t="s">
        <v>86</v>
      </c>
      <c r="AW118" s="2" t="s">
        <v>86</v>
      </c>
      <c r="AX118" s="4">
        <v>15</v>
      </c>
      <c r="AY118" s="2" t="s">
        <v>2237</v>
      </c>
      <c r="AZ118" s="2" t="s">
        <v>92</v>
      </c>
      <c r="BA118" s="2" t="s">
        <v>2237</v>
      </c>
      <c r="BB118" s="2" t="s">
        <v>2238</v>
      </c>
      <c r="BC118" s="4">
        <v>36557694</v>
      </c>
      <c r="BD118" s="2" t="s">
        <v>723</v>
      </c>
      <c r="BE118" s="2" t="s">
        <v>86</v>
      </c>
      <c r="BF118" s="2" t="s">
        <v>86</v>
      </c>
      <c r="BG118" s="2" t="s">
        <v>95</v>
      </c>
      <c r="BH118" s="2" t="s">
        <v>2239</v>
      </c>
      <c r="BI118" s="2" t="str">
        <f>HYPERLINK("https%3A%2F%2Fwww.webofscience.com%2Fwos%2Fwoscc%2Ffull-record%2FWOS:000902914200001","View Full Record in Web of Science")</f>
        <v>View Full Record in Web of Science</v>
      </c>
    </row>
    <row r="119" spans="1:61" ht="12.75" x14ac:dyDescent="0.2">
      <c r="A119" s="8">
        <v>115</v>
      </c>
      <c r="B119" s="8" t="s">
        <v>1049</v>
      </c>
      <c r="C119" s="8" t="s">
        <v>2240</v>
      </c>
      <c r="D119" s="9" t="s">
        <v>2241</v>
      </c>
      <c r="E119" s="9" t="s">
        <v>2242</v>
      </c>
      <c r="F119" s="11" t="str">
        <f>HYPERLINK("http://dx.doi.org/10.1007/s00244-021-00885-5","http://dx.doi.org/10.1007/s00244-021-00885-5")</f>
        <v>http://dx.doi.org/10.1007/s00244-021-00885-5</v>
      </c>
      <c r="G119" s="9" t="s">
        <v>200</v>
      </c>
      <c r="H119" s="9" t="s">
        <v>2243</v>
      </c>
      <c r="I119" s="9" t="s">
        <v>2244</v>
      </c>
      <c r="J119" s="9" t="s">
        <v>2245</v>
      </c>
      <c r="K119" s="9" t="s">
        <v>68</v>
      </c>
      <c r="L119" s="9" t="s">
        <v>2246</v>
      </c>
      <c r="M119" s="9" t="s">
        <v>2247</v>
      </c>
      <c r="N119" s="9" t="s">
        <v>2248</v>
      </c>
      <c r="O119" s="9" t="s">
        <v>2249</v>
      </c>
      <c r="P119" s="9" t="s">
        <v>2250</v>
      </c>
      <c r="Q119" s="9" t="s">
        <v>2251</v>
      </c>
      <c r="R119" s="9" t="s">
        <v>2252</v>
      </c>
      <c r="S119" s="9" t="s">
        <v>2253</v>
      </c>
      <c r="T119" s="9" t="s">
        <v>86</v>
      </c>
      <c r="U119" s="9" t="s">
        <v>86</v>
      </c>
      <c r="V119" s="9" t="s">
        <v>86</v>
      </c>
      <c r="W119" s="9" t="s">
        <v>80</v>
      </c>
      <c r="X119" s="12">
        <v>35</v>
      </c>
      <c r="Y119" s="12">
        <v>38</v>
      </c>
      <c r="Z119" s="12">
        <v>38</v>
      </c>
      <c r="AA119" s="12">
        <v>13</v>
      </c>
      <c r="AB119" s="12">
        <v>56</v>
      </c>
      <c r="AC119" s="9" t="s">
        <v>139</v>
      </c>
      <c r="AD119" s="9" t="s">
        <v>1355</v>
      </c>
      <c r="AE119" s="9" t="s">
        <v>1356</v>
      </c>
      <c r="AF119" s="9" t="s">
        <v>2254</v>
      </c>
      <c r="AG119" s="9" t="s">
        <v>2255</v>
      </c>
      <c r="AH119" s="9" t="s">
        <v>86</v>
      </c>
      <c r="AI119" s="9" t="s">
        <v>2256</v>
      </c>
      <c r="AJ119" s="9" t="s">
        <v>2257</v>
      </c>
      <c r="AK119" s="9" t="s">
        <v>873</v>
      </c>
      <c r="AL119" s="12">
        <v>2021</v>
      </c>
      <c r="AM119" s="12">
        <v>81</v>
      </c>
      <c r="AN119" s="12">
        <v>3</v>
      </c>
      <c r="AO119" s="9" t="s">
        <v>86</v>
      </c>
      <c r="AP119" s="9" t="s">
        <v>86</v>
      </c>
      <c r="AQ119" s="9" t="s">
        <v>86</v>
      </c>
      <c r="AR119" s="9" t="s">
        <v>86</v>
      </c>
      <c r="AS119" s="12">
        <v>460</v>
      </c>
      <c r="AT119" s="12">
        <v>469</v>
      </c>
      <c r="AU119" s="9" t="s">
        <v>86</v>
      </c>
      <c r="AV119" s="9" t="s">
        <v>86</v>
      </c>
      <c r="AW119" s="9" t="s">
        <v>2258</v>
      </c>
      <c r="AX119" s="12">
        <v>10</v>
      </c>
      <c r="AY119" s="9" t="s">
        <v>1361</v>
      </c>
      <c r="AZ119" s="9" t="s">
        <v>92</v>
      </c>
      <c r="BA119" s="9" t="s">
        <v>1362</v>
      </c>
      <c r="BB119" s="9" t="s">
        <v>2259</v>
      </c>
      <c r="BC119" s="12">
        <v>34542666</v>
      </c>
      <c r="BD119" s="9" t="s">
        <v>86</v>
      </c>
      <c r="BE119" s="9" t="s">
        <v>86</v>
      </c>
      <c r="BF119" s="9" t="s">
        <v>86</v>
      </c>
      <c r="BG119" s="9" t="s">
        <v>95</v>
      </c>
      <c r="BH119" s="9" t="s">
        <v>2260</v>
      </c>
      <c r="BI119" s="9" t="str">
        <f>HYPERLINK("https%3A%2F%2Fwww.webofscience.com%2Fwos%2Fwoscc%2Ffull-record%2FWOS:000698056300002","View Full Record in Web of Science")</f>
        <v>View Full Record in Web of Science</v>
      </c>
    </row>
    <row r="120" spans="1:61" ht="12.75" x14ac:dyDescent="0.2">
      <c r="A120" s="8">
        <v>116</v>
      </c>
      <c r="B120" s="8" t="s">
        <v>1049</v>
      </c>
      <c r="C120" s="8" t="s">
        <v>2261</v>
      </c>
      <c r="D120" s="9" t="s">
        <v>2262</v>
      </c>
      <c r="E120" s="9" t="s">
        <v>2263</v>
      </c>
      <c r="F120" s="11" t="str">
        <f>HYPERLINK("http://dx.doi.org/10.1016/j.marpolbul.2022.113535","http://dx.doi.org/10.1016/j.marpolbul.2022.113535")</f>
        <v>http://dx.doi.org/10.1016/j.marpolbul.2022.113535</v>
      </c>
      <c r="G120" s="9" t="s">
        <v>200</v>
      </c>
      <c r="H120" s="9" t="s">
        <v>2264</v>
      </c>
      <c r="I120" s="9" t="s">
        <v>2265</v>
      </c>
      <c r="J120" s="9" t="s">
        <v>424</v>
      </c>
      <c r="K120" s="9" t="s">
        <v>68</v>
      </c>
      <c r="L120" s="9" t="s">
        <v>2266</v>
      </c>
      <c r="M120" s="9" t="s">
        <v>2267</v>
      </c>
      <c r="N120" s="9" t="s">
        <v>2268</v>
      </c>
      <c r="O120" s="9" t="s">
        <v>1422</v>
      </c>
      <c r="P120" s="9" t="s">
        <v>2269</v>
      </c>
      <c r="Q120" s="9" t="s">
        <v>2270</v>
      </c>
      <c r="R120" s="9" t="s">
        <v>2271</v>
      </c>
      <c r="S120" s="9" t="s">
        <v>1963</v>
      </c>
      <c r="T120" s="9" t="s">
        <v>86</v>
      </c>
      <c r="U120" s="9" t="s">
        <v>86</v>
      </c>
      <c r="V120" s="9" t="s">
        <v>86</v>
      </c>
      <c r="W120" s="9" t="s">
        <v>80</v>
      </c>
      <c r="X120" s="12">
        <v>74</v>
      </c>
      <c r="Y120" s="12">
        <v>9</v>
      </c>
      <c r="Z120" s="12">
        <v>9</v>
      </c>
      <c r="AA120" s="12">
        <v>11</v>
      </c>
      <c r="AB120" s="12">
        <v>43</v>
      </c>
      <c r="AC120" s="9" t="s">
        <v>237</v>
      </c>
      <c r="AD120" s="9" t="s">
        <v>115</v>
      </c>
      <c r="AE120" s="9" t="s">
        <v>238</v>
      </c>
      <c r="AF120" s="9" t="s">
        <v>436</v>
      </c>
      <c r="AG120" s="9" t="s">
        <v>437</v>
      </c>
      <c r="AH120" s="9" t="s">
        <v>86</v>
      </c>
      <c r="AI120" s="9" t="s">
        <v>438</v>
      </c>
      <c r="AJ120" s="9" t="s">
        <v>439</v>
      </c>
      <c r="AK120" s="9" t="s">
        <v>89</v>
      </c>
      <c r="AL120" s="12">
        <v>2022</v>
      </c>
      <c r="AM120" s="12">
        <v>177</v>
      </c>
      <c r="AN120" s="9" t="s">
        <v>86</v>
      </c>
      <c r="AO120" s="9" t="s">
        <v>86</v>
      </c>
      <c r="AP120" s="9" t="s">
        <v>86</v>
      </c>
      <c r="AQ120" s="9" t="s">
        <v>86</v>
      </c>
      <c r="AR120" s="9" t="s">
        <v>86</v>
      </c>
      <c r="AS120" s="9" t="s">
        <v>86</v>
      </c>
      <c r="AT120" s="9" t="s">
        <v>86</v>
      </c>
      <c r="AU120" s="12">
        <v>113535</v>
      </c>
      <c r="AV120" s="9" t="s">
        <v>86</v>
      </c>
      <c r="AW120" s="9" t="s">
        <v>1238</v>
      </c>
      <c r="AX120" s="12">
        <v>8</v>
      </c>
      <c r="AY120" s="9" t="s">
        <v>441</v>
      </c>
      <c r="AZ120" s="9" t="s">
        <v>92</v>
      </c>
      <c r="BA120" s="9" t="s">
        <v>442</v>
      </c>
      <c r="BB120" s="9" t="s">
        <v>2272</v>
      </c>
      <c r="BC120" s="12">
        <v>35279548</v>
      </c>
      <c r="BD120" s="9" t="s">
        <v>86</v>
      </c>
      <c r="BE120" s="9" t="s">
        <v>86</v>
      </c>
      <c r="BF120" s="9" t="s">
        <v>86</v>
      </c>
      <c r="BG120" s="9" t="s">
        <v>95</v>
      </c>
      <c r="BH120" s="9" t="s">
        <v>2273</v>
      </c>
      <c r="BI120" s="9" t="str">
        <f>HYPERLINK("https%3A%2F%2Fwww.webofscience.com%2Fwos%2Fwoscc%2Ffull-record%2FWOS:000777832000006","View Full Record in Web of Science")</f>
        <v>View Full Record in Web of Science</v>
      </c>
    </row>
    <row r="121" spans="1:61" customFormat="1" ht="12.75" x14ac:dyDescent="0.2">
      <c r="A121" s="1">
        <v>117</v>
      </c>
      <c r="B121" s="1" t="s">
        <v>1068</v>
      </c>
      <c r="C121" s="1" t="s">
        <v>2274</v>
      </c>
      <c r="D121" s="2" t="s">
        <v>2275</v>
      </c>
      <c r="E121" s="2" t="s">
        <v>2276</v>
      </c>
      <c r="F121" s="3" t="str">
        <f>HYPERLINK("http://dx.doi.org/10.1016/j.marpolbul.2021.112470","http://dx.doi.org/10.1016/j.marpolbul.2021.112470")</f>
        <v>http://dx.doi.org/10.1016/j.marpolbul.2021.112470</v>
      </c>
      <c r="G121" s="2" t="s">
        <v>200</v>
      </c>
      <c r="H121" s="2" t="s">
        <v>2277</v>
      </c>
      <c r="I121" s="2" t="s">
        <v>2278</v>
      </c>
      <c r="J121" s="2" t="s">
        <v>424</v>
      </c>
      <c r="K121" s="2" t="s">
        <v>68</v>
      </c>
      <c r="L121" s="2" t="s">
        <v>2279</v>
      </c>
      <c r="M121" s="2" t="s">
        <v>2280</v>
      </c>
      <c r="N121" s="2" t="s">
        <v>2281</v>
      </c>
      <c r="O121" s="2" t="s">
        <v>2282</v>
      </c>
      <c r="P121" s="2" t="s">
        <v>2283</v>
      </c>
      <c r="Q121" s="2" t="s">
        <v>2284</v>
      </c>
      <c r="R121" s="2" t="s">
        <v>2285</v>
      </c>
      <c r="S121" s="2" t="s">
        <v>2286</v>
      </c>
      <c r="T121" s="2" t="s">
        <v>2287</v>
      </c>
      <c r="U121" s="2" t="s">
        <v>2288</v>
      </c>
      <c r="V121" s="2" t="s">
        <v>2289</v>
      </c>
      <c r="W121" s="2" t="s">
        <v>80</v>
      </c>
      <c r="X121" s="4">
        <v>59</v>
      </c>
      <c r="Y121" s="4">
        <v>18</v>
      </c>
      <c r="Z121" s="4">
        <v>18</v>
      </c>
      <c r="AA121" s="4">
        <v>11</v>
      </c>
      <c r="AB121" s="4">
        <v>76</v>
      </c>
      <c r="AC121" s="2" t="s">
        <v>237</v>
      </c>
      <c r="AD121" s="2" t="s">
        <v>115</v>
      </c>
      <c r="AE121" s="2" t="s">
        <v>238</v>
      </c>
      <c r="AF121" s="2" t="s">
        <v>436</v>
      </c>
      <c r="AG121" s="2" t="s">
        <v>437</v>
      </c>
      <c r="AH121" s="2" t="s">
        <v>86</v>
      </c>
      <c r="AI121" s="2" t="s">
        <v>438</v>
      </c>
      <c r="AJ121" s="2" t="s">
        <v>439</v>
      </c>
      <c r="AK121" s="2" t="s">
        <v>636</v>
      </c>
      <c r="AL121" s="4">
        <v>2021</v>
      </c>
      <c r="AM121" s="4">
        <v>169</v>
      </c>
      <c r="AN121" s="2" t="s">
        <v>86</v>
      </c>
      <c r="AO121" s="2" t="s">
        <v>86</v>
      </c>
      <c r="AP121" s="2" t="s">
        <v>86</v>
      </c>
      <c r="AQ121" s="2" t="s">
        <v>86</v>
      </c>
      <c r="AR121" s="2" t="s">
        <v>86</v>
      </c>
      <c r="AS121" s="2" t="s">
        <v>86</v>
      </c>
      <c r="AT121" s="2" t="s">
        <v>86</v>
      </c>
      <c r="AU121" s="4">
        <v>112470</v>
      </c>
      <c r="AV121" s="2" t="s">
        <v>86</v>
      </c>
      <c r="AW121" s="2" t="s">
        <v>2290</v>
      </c>
      <c r="AX121" s="4">
        <v>10</v>
      </c>
      <c r="AY121" s="2" t="s">
        <v>441</v>
      </c>
      <c r="AZ121" s="2" t="s">
        <v>92</v>
      </c>
      <c r="BA121" s="2" t="s">
        <v>442</v>
      </c>
      <c r="BB121" s="2" t="s">
        <v>2291</v>
      </c>
      <c r="BC121" s="4">
        <v>34049063</v>
      </c>
      <c r="BD121" s="2" t="s">
        <v>86</v>
      </c>
      <c r="BE121" s="2" t="s">
        <v>86</v>
      </c>
      <c r="BF121" s="2" t="s">
        <v>86</v>
      </c>
      <c r="BG121" s="2" t="s">
        <v>95</v>
      </c>
      <c r="BH121" s="2" t="s">
        <v>2292</v>
      </c>
      <c r="BI121" s="2" t="str">
        <f>HYPERLINK("https%3A%2F%2Fwww.webofscience.com%2Fwos%2Fwoscc%2Ffull-record%2FWOS:000679317100002","View Full Record in Web of Science")</f>
        <v>View Full Record in Web of Science</v>
      </c>
    </row>
    <row r="122" spans="1:61" customFormat="1" ht="12.75" x14ac:dyDescent="0.2">
      <c r="A122" s="1">
        <v>118</v>
      </c>
      <c r="B122" s="1" t="s">
        <v>1068</v>
      </c>
      <c r="C122" s="1" t="s">
        <v>2293</v>
      </c>
      <c r="D122" s="2" t="s">
        <v>2294</v>
      </c>
      <c r="E122" s="2" t="s">
        <v>2295</v>
      </c>
      <c r="F122" s="3" t="str">
        <f>HYPERLINK("http://dx.doi.org/10.1007/s10311-022-01560-4","http://dx.doi.org/10.1007/s10311-022-01560-4")</f>
        <v>http://dx.doi.org/10.1007/s10311-022-01560-4</v>
      </c>
      <c r="G122" s="2" t="s">
        <v>642</v>
      </c>
      <c r="H122" s="2" t="s">
        <v>2296</v>
      </c>
      <c r="I122" s="2" t="s">
        <v>2297</v>
      </c>
      <c r="J122" s="2" t="s">
        <v>2298</v>
      </c>
      <c r="K122" s="2" t="s">
        <v>68</v>
      </c>
      <c r="L122" s="2" t="s">
        <v>2299</v>
      </c>
      <c r="M122" s="2" t="s">
        <v>2300</v>
      </c>
      <c r="N122" s="2" t="s">
        <v>2301</v>
      </c>
      <c r="O122" s="2" t="s">
        <v>2302</v>
      </c>
      <c r="P122" s="2" t="s">
        <v>2303</v>
      </c>
      <c r="Q122" s="2" t="s">
        <v>2304</v>
      </c>
      <c r="R122" s="2" t="s">
        <v>2305</v>
      </c>
      <c r="S122" s="2" t="s">
        <v>2306</v>
      </c>
      <c r="T122" s="2" t="s">
        <v>86</v>
      </c>
      <c r="U122" s="2" t="s">
        <v>86</v>
      </c>
      <c r="V122" s="2" t="s">
        <v>86</v>
      </c>
      <c r="W122" s="2" t="s">
        <v>80</v>
      </c>
      <c r="X122" s="4">
        <v>43</v>
      </c>
      <c r="Y122" s="4">
        <v>0</v>
      </c>
      <c r="Z122" s="4">
        <v>0</v>
      </c>
      <c r="AA122" s="4">
        <v>27</v>
      </c>
      <c r="AB122" s="4">
        <v>27</v>
      </c>
      <c r="AC122" s="2" t="s">
        <v>81</v>
      </c>
      <c r="AD122" s="2" t="s">
        <v>82</v>
      </c>
      <c r="AE122" s="2" t="s">
        <v>83</v>
      </c>
      <c r="AF122" s="2" t="s">
        <v>2307</v>
      </c>
      <c r="AG122" s="2" t="s">
        <v>2308</v>
      </c>
      <c r="AH122" s="2" t="s">
        <v>86</v>
      </c>
      <c r="AI122" s="2" t="s">
        <v>2309</v>
      </c>
      <c r="AJ122" s="2" t="s">
        <v>2310</v>
      </c>
      <c r="AK122" s="2" t="s">
        <v>2311</v>
      </c>
      <c r="AL122" s="4">
        <v>2023</v>
      </c>
      <c r="AM122" s="2" t="s">
        <v>86</v>
      </c>
      <c r="AN122" s="2" t="s">
        <v>86</v>
      </c>
      <c r="AO122" s="2" t="s">
        <v>86</v>
      </c>
      <c r="AP122" s="2" t="s">
        <v>86</v>
      </c>
      <c r="AQ122" s="2" t="s">
        <v>86</v>
      </c>
      <c r="AR122" s="2" t="s">
        <v>86</v>
      </c>
      <c r="AS122" s="2" t="s">
        <v>86</v>
      </c>
      <c r="AT122" s="2" t="s">
        <v>86</v>
      </c>
      <c r="AU122" s="2" t="s">
        <v>86</v>
      </c>
      <c r="AV122" s="2" t="s">
        <v>86</v>
      </c>
      <c r="AW122" s="2" t="s">
        <v>1440</v>
      </c>
      <c r="AX122" s="4">
        <v>8</v>
      </c>
      <c r="AY122" s="2" t="s">
        <v>2312</v>
      </c>
      <c r="AZ122" s="2" t="s">
        <v>92</v>
      </c>
      <c r="BA122" s="2" t="s">
        <v>2313</v>
      </c>
      <c r="BB122" s="2" t="s">
        <v>2314</v>
      </c>
      <c r="BC122" s="2" t="s">
        <v>86</v>
      </c>
      <c r="BD122" s="2" t="s">
        <v>86</v>
      </c>
      <c r="BE122" s="2" t="s">
        <v>86</v>
      </c>
      <c r="BF122" s="2" t="s">
        <v>86</v>
      </c>
      <c r="BG122" s="2" t="s">
        <v>95</v>
      </c>
      <c r="BH122" s="2" t="s">
        <v>2315</v>
      </c>
      <c r="BI122" s="2" t="str">
        <f>HYPERLINK("https%3A%2F%2Fwww.webofscience.com%2Fwos%2Fwoscc%2Ffull-record%2FWOS:000922374600002","View Full Record in Web of Science")</f>
        <v>View Full Record in Web of Science</v>
      </c>
    </row>
    <row r="123" spans="1:61" ht="12.75" x14ac:dyDescent="0.2">
      <c r="A123" s="8">
        <v>119</v>
      </c>
      <c r="B123" s="8" t="s">
        <v>1049</v>
      </c>
      <c r="C123" s="8" t="s">
        <v>2316</v>
      </c>
      <c r="D123" s="9" t="s">
        <v>2317</v>
      </c>
      <c r="E123" s="9" t="s">
        <v>2318</v>
      </c>
      <c r="F123" s="11" t="str">
        <f>HYPERLINK("http://dx.doi.org/10.4194/TRJFAS20504","http://dx.doi.org/10.4194/TRJFAS20504")</f>
        <v>http://dx.doi.org/10.4194/TRJFAS20504</v>
      </c>
      <c r="G123" s="9" t="s">
        <v>200</v>
      </c>
      <c r="H123" s="9" t="s">
        <v>2319</v>
      </c>
      <c r="I123" s="9" t="s">
        <v>2320</v>
      </c>
      <c r="J123" s="9" t="s">
        <v>620</v>
      </c>
      <c r="K123" s="9" t="s">
        <v>68</v>
      </c>
      <c r="L123" s="9" t="s">
        <v>2321</v>
      </c>
      <c r="M123" s="9" t="s">
        <v>2322</v>
      </c>
      <c r="N123" s="9" t="s">
        <v>2323</v>
      </c>
      <c r="O123" s="9" t="s">
        <v>2324</v>
      </c>
      <c r="P123" s="9" t="s">
        <v>2145</v>
      </c>
      <c r="Q123" s="9" t="s">
        <v>1702</v>
      </c>
      <c r="R123" s="9" t="s">
        <v>2325</v>
      </c>
      <c r="S123" s="9" t="s">
        <v>2326</v>
      </c>
      <c r="T123" s="9" t="s">
        <v>86</v>
      </c>
      <c r="U123" s="9" t="s">
        <v>86</v>
      </c>
      <c r="V123" s="9" t="s">
        <v>86</v>
      </c>
      <c r="W123" s="9" t="s">
        <v>80</v>
      </c>
      <c r="X123" s="12">
        <v>83</v>
      </c>
      <c r="Y123" s="12">
        <v>16</v>
      </c>
      <c r="Z123" s="12">
        <v>16</v>
      </c>
      <c r="AA123" s="12">
        <v>20</v>
      </c>
      <c r="AB123" s="12">
        <v>53</v>
      </c>
      <c r="AC123" s="9" t="s">
        <v>629</v>
      </c>
      <c r="AD123" s="9" t="s">
        <v>630</v>
      </c>
      <c r="AE123" s="9" t="s">
        <v>631</v>
      </c>
      <c r="AF123" s="9" t="s">
        <v>632</v>
      </c>
      <c r="AG123" s="9" t="s">
        <v>633</v>
      </c>
      <c r="AH123" s="9" t="s">
        <v>86</v>
      </c>
      <c r="AI123" s="9" t="s">
        <v>634</v>
      </c>
      <c r="AJ123" s="9" t="s">
        <v>635</v>
      </c>
      <c r="AK123" s="9" t="s">
        <v>1458</v>
      </c>
      <c r="AL123" s="12">
        <v>2022</v>
      </c>
      <c r="AM123" s="12">
        <v>22</v>
      </c>
      <c r="AN123" s="12">
        <v>7</v>
      </c>
      <c r="AO123" s="9" t="s">
        <v>86</v>
      </c>
      <c r="AP123" s="9" t="s">
        <v>86</v>
      </c>
      <c r="AQ123" s="9" t="s">
        <v>963</v>
      </c>
      <c r="AR123" s="9" t="s">
        <v>86</v>
      </c>
      <c r="AS123" s="9" t="s">
        <v>86</v>
      </c>
      <c r="AT123" s="9" t="s">
        <v>86</v>
      </c>
      <c r="AU123" s="9" t="s">
        <v>2327</v>
      </c>
      <c r="AV123" s="9" t="s">
        <v>86</v>
      </c>
      <c r="AW123" s="9" t="s">
        <v>86</v>
      </c>
      <c r="AX123" s="12">
        <v>13</v>
      </c>
      <c r="AY123" s="9" t="s">
        <v>319</v>
      </c>
      <c r="AZ123" s="9" t="s">
        <v>92</v>
      </c>
      <c r="BA123" s="9" t="s">
        <v>319</v>
      </c>
      <c r="BB123" s="9" t="s">
        <v>1460</v>
      </c>
      <c r="BC123" s="9" t="s">
        <v>86</v>
      </c>
      <c r="BD123" s="9" t="s">
        <v>321</v>
      </c>
      <c r="BE123" s="9" t="s">
        <v>86</v>
      </c>
      <c r="BF123" s="9" t="s">
        <v>86</v>
      </c>
      <c r="BG123" s="9" t="s">
        <v>95</v>
      </c>
      <c r="BH123" s="9" t="s">
        <v>2328</v>
      </c>
      <c r="BI123" s="9" t="str">
        <f>HYPERLINK("https%3A%2F%2Fwww.webofscience.com%2Fwos%2Fwoscc%2Ffull-record%2FWOS:000763773900002","View Full Record in Web of Science")</f>
        <v>View Full Record in Web of Science</v>
      </c>
    </row>
    <row r="124" spans="1:61" customFormat="1" ht="12.75" x14ac:dyDescent="0.2">
      <c r="A124" s="1">
        <v>120</v>
      </c>
      <c r="B124" s="1" t="s">
        <v>1068</v>
      </c>
      <c r="C124" s="1" t="s">
        <v>2329</v>
      </c>
      <c r="D124" s="2" t="s">
        <v>2330</v>
      </c>
      <c r="E124" s="2" t="s">
        <v>2331</v>
      </c>
      <c r="F124" s="3" t="str">
        <f>HYPERLINK("http://dx.doi.org/10.1140/epjp/i2018-12372-7","http://dx.doi.org/10.1140/epjp/i2018-12372-7")</f>
        <v>http://dx.doi.org/10.1140/epjp/i2018-12372-7</v>
      </c>
      <c r="G124" s="2" t="s">
        <v>200</v>
      </c>
      <c r="H124" s="2" t="s">
        <v>2332</v>
      </c>
      <c r="I124" s="2" t="s">
        <v>2333</v>
      </c>
      <c r="J124" s="2" t="s">
        <v>2334</v>
      </c>
      <c r="K124" s="2" t="s">
        <v>68</v>
      </c>
      <c r="L124" s="2" t="s">
        <v>86</v>
      </c>
      <c r="M124" s="2" t="s">
        <v>2335</v>
      </c>
      <c r="N124" s="2" t="s">
        <v>2336</v>
      </c>
      <c r="O124" s="2" t="s">
        <v>428</v>
      </c>
      <c r="P124" s="2" t="s">
        <v>506</v>
      </c>
      <c r="Q124" s="2" t="s">
        <v>430</v>
      </c>
      <c r="R124" s="2" t="s">
        <v>431</v>
      </c>
      <c r="S124" s="2" t="s">
        <v>432</v>
      </c>
      <c r="T124" s="2" t="s">
        <v>2337</v>
      </c>
      <c r="U124" s="2" t="s">
        <v>1706</v>
      </c>
      <c r="V124" s="2" t="s">
        <v>2338</v>
      </c>
      <c r="W124" s="2" t="s">
        <v>80</v>
      </c>
      <c r="X124" s="4">
        <v>41</v>
      </c>
      <c r="Y124" s="4">
        <v>65</v>
      </c>
      <c r="Z124" s="4">
        <v>66</v>
      </c>
      <c r="AA124" s="4">
        <v>13</v>
      </c>
      <c r="AB124" s="4">
        <v>197</v>
      </c>
      <c r="AC124" s="2" t="s">
        <v>81</v>
      </c>
      <c r="AD124" s="2" t="s">
        <v>82</v>
      </c>
      <c r="AE124" s="2" t="s">
        <v>83</v>
      </c>
      <c r="AF124" s="2" t="s">
        <v>2339</v>
      </c>
      <c r="AG124" s="2" t="s">
        <v>86</v>
      </c>
      <c r="AH124" s="2" t="s">
        <v>86</v>
      </c>
      <c r="AI124" s="2" t="s">
        <v>2340</v>
      </c>
      <c r="AJ124" s="2" t="s">
        <v>2341</v>
      </c>
      <c r="AK124" s="2" t="s">
        <v>2342</v>
      </c>
      <c r="AL124" s="4">
        <v>2018</v>
      </c>
      <c r="AM124" s="4">
        <v>133</v>
      </c>
      <c r="AN124" s="4">
        <v>11</v>
      </c>
      <c r="AO124" s="2" t="s">
        <v>86</v>
      </c>
      <c r="AP124" s="2" t="s">
        <v>86</v>
      </c>
      <c r="AQ124" s="2" t="s">
        <v>86</v>
      </c>
      <c r="AR124" s="2" t="s">
        <v>86</v>
      </c>
      <c r="AS124" s="2" t="s">
        <v>86</v>
      </c>
      <c r="AT124" s="2" t="s">
        <v>86</v>
      </c>
      <c r="AU124" s="4">
        <v>488</v>
      </c>
      <c r="AV124" s="2" t="s">
        <v>86</v>
      </c>
      <c r="AW124" s="2" t="s">
        <v>86</v>
      </c>
      <c r="AX124" s="4">
        <v>9</v>
      </c>
      <c r="AY124" s="2" t="s">
        <v>2343</v>
      </c>
      <c r="AZ124" s="2" t="s">
        <v>92</v>
      </c>
      <c r="BA124" s="2" t="s">
        <v>2344</v>
      </c>
      <c r="BB124" s="2" t="s">
        <v>2345</v>
      </c>
      <c r="BC124" s="2" t="s">
        <v>86</v>
      </c>
      <c r="BD124" s="2" t="s">
        <v>86</v>
      </c>
      <c r="BE124" s="2" t="s">
        <v>86</v>
      </c>
      <c r="BF124" s="2" t="s">
        <v>86</v>
      </c>
      <c r="BG124" s="2" t="s">
        <v>95</v>
      </c>
      <c r="BH124" s="2" t="s">
        <v>2346</v>
      </c>
      <c r="BI124" s="2" t="str">
        <f>HYPERLINK("https%3A%2F%2Fwww.webofscience.com%2Fwos%2Fwoscc%2Ffull-record%2FWOS:000452614300003","View Full Record in Web of Science")</f>
        <v>View Full Record in Web of Science</v>
      </c>
    </row>
    <row r="125" spans="1:61" customFormat="1" ht="12.75" x14ac:dyDescent="0.2">
      <c r="A125" s="1">
        <v>121</v>
      </c>
      <c r="B125" s="1" t="s">
        <v>1068</v>
      </c>
      <c r="C125" s="1" t="s">
        <v>2347</v>
      </c>
      <c r="D125" s="2" t="s">
        <v>2348</v>
      </c>
      <c r="E125" s="2" t="s">
        <v>2349</v>
      </c>
      <c r="F125" s="3" t="str">
        <f>HYPERLINK("http://dx.doi.org/10.1002/ieam.4667","http://dx.doi.org/10.1002/ieam.4667")</f>
        <v>http://dx.doi.org/10.1002/ieam.4667</v>
      </c>
      <c r="G125" s="2" t="s">
        <v>200</v>
      </c>
      <c r="H125" s="2" t="s">
        <v>2350</v>
      </c>
      <c r="I125" s="2" t="s">
        <v>2351</v>
      </c>
      <c r="J125" s="2" t="s">
        <v>2352</v>
      </c>
      <c r="K125" s="2" t="s">
        <v>68</v>
      </c>
      <c r="L125" s="2" t="s">
        <v>2353</v>
      </c>
      <c r="M125" s="2" t="s">
        <v>2354</v>
      </c>
      <c r="N125" s="2" t="s">
        <v>2355</v>
      </c>
      <c r="O125" s="2" t="s">
        <v>2356</v>
      </c>
      <c r="P125" s="2" t="s">
        <v>2357</v>
      </c>
      <c r="Q125" s="2" t="s">
        <v>2358</v>
      </c>
      <c r="R125" s="2" t="s">
        <v>86</v>
      </c>
      <c r="S125" s="2" t="s">
        <v>86</v>
      </c>
      <c r="T125" s="2" t="s">
        <v>2359</v>
      </c>
      <c r="U125" s="2" t="s">
        <v>1894</v>
      </c>
      <c r="V125" s="2" t="s">
        <v>2360</v>
      </c>
      <c r="W125" s="2" t="s">
        <v>80</v>
      </c>
      <c r="X125" s="4">
        <v>94</v>
      </c>
      <c r="Y125" s="4">
        <v>0</v>
      </c>
      <c r="Z125" s="4">
        <v>0</v>
      </c>
      <c r="AA125" s="4">
        <v>24</v>
      </c>
      <c r="AB125" s="4">
        <v>45</v>
      </c>
      <c r="AC125" s="2" t="s">
        <v>956</v>
      </c>
      <c r="AD125" s="2" t="s">
        <v>957</v>
      </c>
      <c r="AE125" s="2" t="s">
        <v>958</v>
      </c>
      <c r="AF125" s="2" t="s">
        <v>2361</v>
      </c>
      <c r="AG125" s="2" t="s">
        <v>2362</v>
      </c>
      <c r="AH125" s="2" t="s">
        <v>86</v>
      </c>
      <c r="AI125" s="2" t="s">
        <v>2363</v>
      </c>
      <c r="AJ125" s="2" t="s">
        <v>2364</v>
      </c>
      <c r="AK125" s="2" t="s">
        <v>366</v>
      </c>
      <c r="AL125" s="4">
        <v>2023</v>
      </c>
      <c r="AM125" s="4">
        <v>19</v>
      </c>
      <c r="AN125" s="4">
        <v>2</v>
      </c>
      <c r="AO125" s="2" t="s">
        <v>86</v>
      </c>
      <c r="AP125" s="2" t="s">
        <v>86</v>
      </c>
      <c r="AQ125" s="2" t="s">
        <v>86</v>
      </c>
      <c r="AR125" s="2" t="s">
        <v>86</v>
      </c>
      <c r="AS125" s="4">
        <v>489</v>
      </c>
      <c r="AT125" s="4">
        <v>500</v>
      </c>
      <c r="AU125" s="2" t="s">
        <v>86</v>
      </c>
      <c r="AV125" s="2" t="s">
        <v>86</v>
      </c>
      <c r="AW125" s="2" t="s">
        <v>294</v>
      </c>
      <c r="AX125" s="4">
        <v>12</v>
      </c>
      <c r="AY125" s="2" t="s">
        <v>1361</v>
      </c>
      <c r="AZ125" s="2" t="s">
        <v>92</v>
      </c>
      <c r="BA125" s="2" t="s">
        <v>1362</v>
      </c>
      <c r="BB125" s="2" t="s">
        <v>2365</v>
      </c>
      <c r="BC125" s="4">
        <v>35932184</v>
      </c>
      <c r="BD125" s="2" t="s">
        <v>86</v>
      </c>
      <c r="BE125" s="2" t="s">
        <v>86</v>
      </c>
      <c r="BF125" s="2" t="s">
        <v>86</v>
      </c>
      <c r="BG125" s="2" t="s">
        <v>95</v>
      </c>
      <c r="BH125" s="2" t="s">
        <v>2366</v>
      </c>
      <c r="BI125" s="2" t="str">
        <f>HYPERLINK("https%3A%2F%2Fwww.webofscience.com%2Fwos%2Fwoscc%2Ffull-record%2FWOS:000850233400001","View Full Record in Web of Science")</f>
        <v>View Full Record in Web of Science</v>
      </c>
    </row>
    <row r="126" spans="1:61" customFormat="1" ht="12.75" x14ac:dyDescent="0.2">
      <c r="A126" s="1">
        <v>122</v>
      </c>
      <c r="B126" s="1" t="s">
        <v>1068</v>
      </c>
      <c r="C126" s="1" t="s">
        <v>2367</v>
      </c>
      <c r="D126" s="2" t="s">
        <v>2368</v>
      </c>
      <c r="E126" s="2" t="s">
        <v>2369</v>
      </c>
      <c r="F126" s="3" t="str">
        <f>HYPERLINK("http://dx.doi.org/10.1007/s10661-018-7010-y","http://dx.doi.org/10.1007/s10661-018-7010-y")</f>
        <v>http://dx.doi.org/10.1007/s10661-018-7010-y</v>
      </c>
      <c r="G126" s="2" t="s">
        <v>200</v>
      </c>
      <c r="H126" s="2" t="s">
        <v>2370</v>
      </c>
      <c r="I126" s="2" t="s">
        <v>2371</v>
      </c>
      <c r="J126" s="2" t="s">
        <v>401</v>
      </c>
      <c r="K126" s="2" t="s">
        <v>68</v>
      </c>
      <c r="L126" s="2" t="s">
        <v>2372</v>
      </c>
      <c r="M126" s="2" t="s">
        <v>2373</v>
      </c>
      <c r="N126" s="2" t="s">
        <v>2374</v>
      </c>
      <c r="O126" s="2" t="s">
        <v>2158</v>
      </c>
      <c r="P126" s="2" t="s">
        <v>1174</v>
      </c>
      <c r="Q126" s="2" t="s">
        <v>74</v>
      </c>
      <c r="R126" s="2" t="s">
        <v>2375</v>
      </c>
      <c r="S126" s="2" t="s">
        <v>2376</v>
      </c>
      <c r="T126" s="2" t="s">
        <v>86</v>
      </c>
      <c r="U126" s="2" t="s">
        <v>86</v>
      </c>
      <c r="V126" s="2" t="s">
        <v>86</v>
      </c>
      <c r="W126" s="2" t="s">
        <v>80</v>
      </c>
      <c r="X126" s="4">
        <v>42</v>
      </c>
      <c r="Y126" s="4">
        <v>118</v>
      </c>
      <c r="Z126" s="4">
        <v>125</v>
      </c>
      <c r="AA126" s="4">
        <v>11</v>
      </c>
      <c r="AB126" s="4">
        <v>228</v>
      </c>
      <c r="AC126" s="2" t="s">
        <v>139</v>
      </c>
      <c r="AD126" s="2" t="s">
        <v>140</v>
      </c>
      <c r="AE126" s="2" t="s">
        <v>141</v>
      </c>
      <c r="AF126" s="2" t="s">
        <v>412</v>
      </c>
      <c r="AG126" s="2" t="s">
        <v>413</v>
      </c>
      <c r="AH126" s="2" t="s">
        <v>86</v>
      </c>
      <c r="AI126" s="2" t="s">
        <v>414</v>
      </c>
      <c r="AJ126" s="2" t="s">
        <v>415</v>
      </c>
      <c r="AK126" s="2" t="s">
        <v>121</v>
      </c>
      <c r="AL126" s="4">
        <v>2018</v>
      </c>
      <c r="AM126" s="4">
        <v>190</v>
      </c>
      <c r="AN126" s="4">
        <v>11</v>
      </c>
      <c r="AO126" s="2" t="s">
        <v>86</v>
      </c>
      <c r="AP126" s="2" t="s">
        <v>86</v>
      </c>
      <c r="AQ126" s="2" t="s">
        <v>86</v>
      </c>
      <c r="AR126" s="2" t="s">
        <v>86</v>
      </c>
      <c r="AS126" s="2" t="s">
        <v>86</v>
      </c>
      <c r="AT126" s="2" t="s">
        <v>86</v>
      </c>
      <c r="AU126" s="4">
        <v>626</v>
      </c>
      <c r="AV126" s="2" t="s">
        <v>86</v>
      </c>
      <c r="AW126" s="2" t="s">
        <v>86</v>
      </c>
      <c r="AX126" s="4">
        <v>10</v>
      </c>
      <c r="AY126" s="2" t="s">
        <v>91</v>
      </c>
      <c r="AZ126" s="2" t="s">
        <v>92</v>
      </c>
      <c r="BA126" s="2" t="s">
        <v>93</v>
      </c>
      <c r="BB126" s="2" t="s">
        <v>2377</v>
      </c>
      <c r="BC126" s="4">
        <v>30280276</v>
      </c>
      <c r="BD126" s="2" t="s">
        <v>86</v>
      </c>
      <c r="BE126" s="2" t="s">
        <v>86</v>
      </c>
      <c r="BF126" s="2" t="s">
        <v>86</v>
      </c>
      <c r="BG126" s="2" t="s">
        <v>95</v>
      </c>
      <c r="BH126" s="2" t="s">
        <v>2378</v>
      </c>
      <c r="BI126" s="2" t="str">
        <f>HYPERLINK("https%3A%2F%2Fwww.webofscience.com%2Fwos%2Fwoscc%2Ffull-record%2FWOS:000446171000002","View Full Record in Web of Science")</f>
        <v>View Full Record in Web of Science</v>
      </c>
    </row>
    <row r="127" spans="1:61" ht="12.75" x14ac:dyDescent="0.2">
      <c r="A127" s="8">
        <v>123</v>
      </c>
      <c r="B127" s="8" t="s">
        <v>1049</v>
      </c>
      <c r="C127" s="8" t="s">
        <v>2379</v>
      </c>
      <c r="D127" s="9" t="s">
        <v>2380</v>
      </c>
      <c r="E127" s="9" t="s">
        <v>2381</v>
      </c>
      <c r="F127" s="11" t="str">
        <f>HYPERLINK("http://dx.doi.org/10.1016/j.chemosphere.2020.126915","http://dx.doi.org/10.1016/j.chemosphere.2020.126915")</f>
        <v>http://dx.doi.org/10.1016/j.chemosphere.2020.126915</v>
      </c>
      <c r="G127" s="9" t="s">
        <v>200</v>
      </c>
      <c r="H127" s="9" t="s">
        <v>2382</v>
      </c>
      <c r="I127" s="9" t="s">
        <v>2383</v>
      </c>
      <c r="J127" s="9" t="s">
        <v>227</v>
      </c>
      <c r="K127" s="9" t="s">
        <v>68</v>
      </c>
      <c r="L127" s="9" t="s">
        <v>2384</v>
      </c>
      <c r="M127" s="9" t="s">
        <v>2385</v>
      </c>
      <c r="N127" s="9" t="s">
        <v>2386</v>
      </c>
      <c r="O127" s="9" t="s">
        <v>1211</v>
      </c>
      <c r="P127" s="9" t="s">
        <v>2387</v>
      </c>
      <c r="Q127" s="9" t="s">
        <v>2388</v>
      </c>
      <c r="R127" s="9" t="s">
        <v>2389</v>
      </c>
      <c r="S127" s="9" t="s">
        <v>2390</v>
      </c>
      <c r="T127" s="9" t="s">
        <v>86</v>
      </c>
      <c r="U127" s="9" t="s">
        <v>86</v>
      </c>
      <c r="V127" s="9" t="s">
        <v>86</v>
      </c>
      <c r="W127" s="9" t="s">
        <v>80</v>
      </c>
      <c r="X127" s="12">
        <v>50</v>
      </c>
      <c r="Y127" s="12">
        <v>24</v>
      </c>
      <c r="Z127" s="12">
        <v>25</v>
      </c>
      <c r="AA127" s="12">
        <v>5</v>
      </c>
      <c r="AB127" s="12">
        <v>70</v>
      </c>
      <c r="AC127" s="9" t="s">
        <v>237</v>
      </c>
      <c r="AD127" s="9" t="s">
        <v>115</v>
      </c>
      <c r="AE127" s="9" t="s">
        <v>238</v>
      </c>
      <c r="AF127" s="9" t="s">
        <v>239</v>
      </c>
      <c r="AG127" s="9" t="s">
        <v>240</v>
      </c>
      <c r="AH127" s="9" t="s">
        <v>86</v>
      </c>
      <c r="AI127" s="9" t="s">
        <v>227</v>
      </c>
      <c r="AJ127" s="9" t="s">
        <v>241</v>
      </c>
      <c r="AK127" s="9" t="s">
        <v>440</v>
      </c>
      <c r="AL127" s="12">
        <v>2020</v>
      </c>
      <c r="AM127" s="12">
        <v>255</v>
      </c>
      <c r="AN127" s="9" t="s">
        <v>86</v>
      </c>
      <c r="AO127" s="9" t="s">
        <v>86</v>
      </c>
      <c r="AP127" s="9" t="s">
        <v>86</v>
      </c>
      <c r="AQ127" s="9" t="s">
        <v>86</v>
      </c>
      <c r="AR127" s="9" t="s">
        <v>86</v>
      </c>
      <c r="AS127" s="9" t="s">
        <v>86</v>
      </c>
      <c r="AT127" s="9" t="s">
        <v>86</v>
      </c>
      <c r="AU127" s="12">
        <v>126915</v>
      </c>
      <c r="AV127" s="9" t="s">
        <v>86</v>
      </c>
      <c r="AW127" s="9" t="s">
        <v>86</v>
      </c>
      <c r="AX127" s="12">
        <v>9</v>
      </c>
      <c r="AY127" s="9" t="s">
        <v>91</v>
      </c>
      <c r="AZ127" s="9" t="s">
        <v>92</v>
      </c>
      <c r="BA127" s="9" t="s">
        <v>93</v>
      </c>
      <c r="BB127" s="9" t="s">
        <v>2391</v>
      </c>
      <c r="BC127" s="12">
        <v>32380267</v>
      </c>
      <c r="BD127" s="9" t="s">
        <v>86</v>
      </c>
      <c r="BE127" s="9" t="s">
        <v>86</v>
      </c>
      <c r="BF127" s="9" t="s">
        <v>86</v>
      </c>
      <c r="BG127" s="9" t="s">
        <v>95</v>
      </c>
      <c r="BH127" s="9" t="s">
        <v>2392</v>
      </c>
      <c r="BI127" s="9" t="str">
        <f>HYPERLINK("https%3A%2F%2Fwww.webofscience.com%2Fwos%2Fwoscc%2Ffull-record%2FWOS:000538127800028","View Full Record in Web of Science")</f>
        <v>View Full Record in Web of Science</v>
      </c>
    </row>
    <row r="128" spans="1:61" ht="12.75" x14ac:dyDescent="0.2">
      <c r="A128" s="8">
        <v>124</v>
      </c>
      <c r="B128" s="8" t="s">
        <v>1049</v>
      </c>
      <c r="C128" s="8" t="s">
        <v>2393</v>
      </c>
      <c r="D128" s="9" t="s">
        <v>2394</v>
      </c>
      <c r="E128" s="9" t="s">
        <v>2395</v>
      </c>
      <c r="F128" s="11" t="str">
        <f>HYPERLINK("http://dx.doi.org/10.4194/TRJFAS20603","http://dx.doi.org/10.4194/TRJFAS20603")</f>
        <v>http://dx.doi.org/10.4194/TRJFAS20603</v>
      </c>
      <c r="G128" s="9" t="s">
        <v>200</v>
      </c>
      <c r="H128" s="9" t="s">
        <v>2396</v>
      </c>
      <c r="I128" s="9" t="s">
        <v>2397</v>
      </c>
      <c r="J128" s="9" t="s">
        <v>620</v>
      </c>
      <c r="K128" s="9" t="s">
        <v>68</v>
      </c>
      <c r="L128" s="9" t="s">
        <v>2398</v>
      </c>
      <c r="M128" s="9" t="s">
        <v>2399</v>
      </c>
      <c r="N128" s="9" t="s">
        <v>2400</v>
      </c>
      <c r="O128" s="9" t="s">
        <v>2401</v>
      </c>
      <c r="P128" s="9" t="s">
        <v>2402</v>
      </c>
      <c r="Q128" s="9" t="s">
        <v>2403</v>
      </c>
      <c r="R128" s="9" t="s">
        <v>2404</v>
      </c>
      <c r="S128" s="9" t="s">
        <v>2405</v>
      </c>
      <c r="T128" s="9" t="s">
        <v>2406</v>
      </c>
      <c r="U128" s="9" t="s">
        <v>434</v>
      </c>
      <c r="V128" s="9" t="s">
        <v>2407</v>
      </c>
      <c r="W128" s="9" t="s">
        <v>80</v>
      </c>
      <c r="X128" s="12">
        <v>76</v>
      </c>
      <c r="Y128" s="12">
        <v>2</v>
      </c>
      <c r="Z128" s="12">
        <v>2</v>
      </c>
      <c r="AA128" s="12">
        <v>6</v>
      </c>
      <c r="AB128" s="12">
        <v>12</v>
      </c>
      <c r="AC128" s="9" t="s">
        <v>629</v>
      </c>
      <c r="AD128" s="9" t="s">
        <v>630</v>
      </c>
      <c r="AE128" s="9" t="s">
        <v>631</v>
      </c>
      <c r="AF128" s="9" t="s">
        <v>632</v>
      </c>
      <c r="AG128" s="9" t="s">
        <v>633</v>
      </c>
      <c r="AH128" s="9" t="s">
        <v>86</v>
      </c>
      <c r="AI128" s="9" t="s">
        <v>634</v>
      </c>
      <c r="AJ128" s="9" t="s">
        <v>635</v>
      </c>
      <c r="AK128" s="9" t="s">
        <v>1458</v>
      </c>
      <c r="AL128" s="12">
        <v>2022</v>
      </c>
      <c r="AM128" s="12">
        <v>22</v>
      </c>
      <c r="AN128" s="12">
        <v>7</v>
      </c>
      <c r="AO128" s="9" t="s">
        <v>86</v>
      </c>
      <c r="AP128" s="9" t="s">
        <v>86</v>
      </c>
      <c r="AQ128" s="9" t="s">
        <v>963</v>
      </c>
      <c r="AR128" s="9" t="s">
        <v>86</v>
      </c>
      <c r="AS128" s="9" t="s">
        <v>86</v>
      </c>
      <c r="AT128" s="9" t="s">
        <v>86</v>
      </c>
      <c r="AU128" s="9" t="s">
        <v>2408</v>
      </c>
      <c r="AV128" s="9" t="s">
        <v>86</v>
      </c>
      <c r="AW128" s="9" t="s">
        <v>86</v>
      </c>
      <c r="AX128" s="12">
        <v>13</v>
      </c>
      <c r="AY128" s="9" t="s">
        <v>319</v>
      </c>
      <c r="AZ128" s="9" t="s">
        <v>92</v>
      </c>
      <c r="BA128" s="9" t="s">
        <v>319</v>
      </c>
      <c r="BB128" s="9" t="s">
        <v>2409</v>
      </c>
      <c r="BC128" s="9" t="s">
        <v>86</v>
      </c>
      <c r="BD128" s="9" t="s">
        <v>86</v>
      </c>
      <c r="BE128" s="9" t="s">
        <v>86</v>
      </c>
      <c r="BF128" s="9" t="s">
        <v>86</v>
      </c>
      <c r="BG128" s="9" t="s">
        <v>95</v>
      </c>
      <c r="BH128" s="9" t="s">
        <v>2410</v>
      </c>
      <c r="BI128" s="9" t="str">
        <f>HYPERLINK("https%3A%2F%2Fwww.webofscience.com%2Fwos%2Fwoscc%2Ffull-record%2FWOS:000898185300003","View Full Record in Web of Science")</f>
        <v>View Full Record in Web of Science</v>
      </c>
    </row>
    <row r="129" spans="1:61" customFormat="1" ht="12.75" x14ac:dyDescent="0.2">
      <c r="A129" s="1">
        <v>125</v>
      </c>
      <c r="B129" s="1" t="s">
        <v>1068</v>
      </c>
      <c r="C129" s="1" t="s">
        <v>2411</v>
      </c>
      <c r="D129" s="2" t="s">
        <v>2412</v>
      </c>
      <c r="E129" s="2" t="s">
        <v>2413</v>
      </c>
      <c r="F129" s="3" t="str">
        <f>HYPERLINK("http://dx.doi.org/10.1080/19440049.2018.1447694","http://dx.doi.org/10.1080/19440049.2018.1447694")</f>
        <v>http://dx.doi.org/10.1080/19440049.2018.1447694</v>
      </c>
      <c r="G129" s="2" t="s">
        <v>200</v>
      </c>
      <c r="H129" s="2" t="s">
        <v>1168</v>
      </c>
      <c r="I129" s="2" t="s">
        <v>1169</v>
      </c>
      <c r="J129" s="2" t="s">
        <v>1146</v>
      </c>
      <c r="K129" s="2" t="s">
        <v>68</v>
      </c>
      <c r="L129" s="2" t="s">
        <v>2414</v>
      </c>
      <c r="M129" s="2" t="s">
        <v>2415</v>
      </c>
      <c r="N129" s="2" t="s">
        <v>1172</v>
      </c>
      <c r="O129" s="2" t="s">
        <v>1173</v>
      </c>
      <c r="P129" s="2" t="s">
        <v>1174</v>
      </c>
      <c r="Q129" s="2" t="s">
        <v>74</v>
      </c>
      <c r="R129" s="2" t="s">
        <v>1175</v>
      </c>
      <c r="S129" s="2" t="s">
        <v>1176</v>
      </c>
      <c r="T129" s="2" t="s">
        <v>86</v>
      </c>
      <c r="U129" s="2" t="s">
        <v>86</v>
      </c>
      <c r="V129" s="2" t="s">
        <v>86</v>
      </c>
      <c r="W129" s="2" t="s">
        <v>80</v>
      </c>
      <c r="X129" s="4">
        <v>53</v>
      </c>
      <c r="Y129" s="4">
        <v>120</v>
      </c>
      <c r="Z129" s="4">
        <v>122</v>
      </c>
      <c r="AA129" s="4">
        <v>7</v>
      </c>
      <c r="AB129" s="4">
        <v>110</v>
      </c>
      <c r="AC129" s="2" t="s">
        <v>286</v>
      </c>
      <c r="AD129" s="2" t="s">
        <v>287</v>
      </c>
      <c r="AE129" s="2" t="s">
        <v>288</v>
      </c>
      <c r="AF129" s="2" t="s">
        <v>1155</v>
      </c>
      <c r="AG129" s="2" t="s">
        <v>1156</v>
      </c>
      <c r="AH129" s="2" t="s">
        <v>86</v>
      </c>
      <c r="AI129" s="2" t="s">
        <v>1157</v>
      </c>
      <c r="AJ129" s="2" t="s">
        <v>1158</v>
      </c>
      <c r="AK129" s="2" t="s">
        <v>86</v>
      </c>
      <c r="AL129" s="4">
        <v>2018</v>
      </c>
      <c r="AM129" s="4">
        <v>35</v>
      </c>
      <c r="AN129" s="4">
        <v>5</v>
      </c>
      <c r="AO129" s="2" t="s">
        <v>86</v>
      </c>
      <c r="AP129" s="2" t="s">
        <v>86</v>
      </c>
      <c r="AQ129" s="2" t="s">
        <v>86</v>
      </c>
      <c r="AR129" s="2" t="s">
        <v>86</v>
      </c>
      <c r="AS129" s="4">
        <v>1006</v>
      </c>
      <c r="AT129" s="4">
        <v>1014</v>
      </c>
      <c r="AU129" s="2" t="s">
        <v>86</v>
      </c>
      <c r="AV129" s="2" t="s">
        <v>86</v>
      </c>
      <c r="AW129" s="2" t="s">
        <v>86</v>
      </c>
      <c r="AX129" s="4">
        <v>9</v>
      </c>
      <c r="AY129" s="2" t="s">
        <v>1161</v>
      </c>
      <c r="AZ129" s="2" t="s">
        <v>92</v>
      </c>
      <c r="BA129" s="2" t="s">
        <v>1162</v>
      </c>
      <c r="BB129" s="2" t="s">
        <v>2416</v>
      </c>
      <c r="BC129" s="4">
        <v>29505336</v>
      </c>
      <c r="BD129" s="2" t="s">
        <v>86</v>
      </c>
      <c r="BE129" s="2" t="s">
        <v>86</v>
      </c>
      <c r="BF129" s="2" t="s">
        <v>86</v>
      </c>
      <c r="BG129" s="2" t="s">
        <v>95</v>
      </c>
      <c r="BH129" s="2" t="s">
        <v>2417</v>
      </c>
      <c r="BI129" s="2" t="str">
        <f>HYPERLINK("https%3A%2F%2Fwww.webofscience.com%2Fwos%2Fwoscc%2Ffull-record%2FWOS:000439664100017","View Full Record in Web of Science")</f>
        <v>View Full Record in Web of Science</v>
      </c>
    </row>
    <row r="130" spans="1:61" customFormat="1" ht="12.75" x14ac:dyDescent="0.2">
      <c r="A130" s="1">
        <v>126</v>
      </c>
      <c r="B130" s="1" t="s">
        <v>1068</v>
      </c>
      <c r="C130" s="1" t="s">
        <v>2418</v>
      </c>
      <c r="D130" s="2" t="s">
        <v>2419</v>
      </c>
      <c r="E130" s="2" t="s">
        <v>2420</v>
      </c>
      <c r="F130" s="3" t="str">
        <f>HYPERLINK("http://dx.doi.org/10.3389/fmars.2020.603321","http://dx.doi.org/10.3389/fmars.2020.603321")</f>
        <v>http://dx.doi.org/10.3389/fmars.2020.603321</v>
      </c>
      <c r="G130" s="2" t="s">
        <v>200</v>
      </c>
      <c r="H130" s="2" t="s">
        <v>2421</v>
      </c>
      <c r="I130" s="2" t="s">
        <v>2422</v>
      </c>
      <c r="J130" s="2" t="s">
        <v>775</v>
      </c>
      <c r="K130" s="2" t="s">
        <v>68</v>
      </c>
      <c r="L130" s="2" t="s">
        <v>2423</v>
      </c>
      <c r="M130" s="2" t="s">
        <v>2424</v>
      </c>
      <c r="N130" s="2" t="s">
        <v>2425</v>
      </c>
      <c r="O130" s="2" t="s">
        <v>2426</v>
      </c>
      <c r="P130" s="2" t="s">
        <v>2427</v>
      </c>
      <c r="Q130" s="2" t="s">
        <v>2428</v>
      </c>
      <c r="R130" s="2" t="s">
        <v>2429</v>
      </c>
      <c r="S130" s="2" t="s">
        <v>2067</v>
      </c>
      <c r="T130" s="2" t="s">
        <v>2430</v>
      </c>
      <c r="U130" s="2" t="s">
        <v>2431</v>
      </c>
      <c r="V130" s="2" t="s">
        <v>2432</v>
      </c>
      <c r="W130" s="2" t="s">
        <v>80</v>
      </c>
      <c r="X130" s="4">
        <v>94</v>
      </c>
      <c r="Y130" s="4">
        <v>9</v>
      </c>
      <c r="Z130" s="4">
        <v>9</v>
      </c>
      <c r="AA130" s="4">
        <v>4</v>
      </c>
      <c r="AB130" s="4">
        <v>46</v>
      </c>
      <c r="AC130" s="2" t="s">
        <v>782</v>
      </c>
      <c r="AD130" s="2" t="s">
        <v>783</v>
      </c>
      <c r="AE130" s="2" t="s">
        <v>784</v>
      </c>
      <c r="AF130" s="2" t="s">
        <v>86</v>
      </c>
      <c r="AG130" s="2" t="s">
        <v>785</v>
      </c>
      <c r="AH130" s="2" t="s">
        <v>86</v>
      </c>
      <c r="AI130" s="2" t="s">
        <v>786</v>
      </c>
      <c r="AJ130" s="2" t="s">
        <v>787</v>
      </c>
      <c r="AK130" s="2" t="s">
        <v>2433</v>
      </c>
      <c r="AL130" s="4">
        <v>2020</v>
      </c>
      <c r="AM130" s="4">
        <v>7</v>
      </c>
      <c r="AN130" s="2" t="s">
        <v>86</v>
      </c>
      <c r="AO130" s="2" t="s">
        <v>86</v>
      </c>
      <c r="AP130" s="2" t="s">
        <v>86</v>
      </c>
      <c r="AQ130" s="2" t="s">
        <v>86</v>
      </c>
      <c r="AR130" s="2" t="s">
        <v>86</v>
      </c>
      <c r="AS130" s="2" t="s">
        <v>86</v>
      </c>
      <c r="AT130" s="2" t="s">
        <v>86</v>
      </c>
      <c r="AU130" s="4">
        <v>603321</v>
      </c>
      <c r="AV130" s="2" t="s">
        <v>86</v>
      </c>
      <c r="AW130" s="2" t="s">
        <v>86</v>
      </c>
      <c r="AX130" s="4">
        <v>15</v>
      </c>
      <c r="AY130" s="2" t="s">
        <v>441</v>
      </c>
      <c r="AZ130" s="2" t="s">
        <v>92</v>
      </c>
      <c r="BA130" s="2" t="s">
        <v>442</v>
      </c>
      <c r="BB130" s="2" t="s">
        <v>2434</v>
      </c>
      <c r="BC130" s="2" t="s">
        <v>86</v>
      </c>
      <c r="BD130" s="2" t="s">
        <v>321</v>
      </c>
      <c r="BE130" s="2" t="s">
        <v>86</v>
      </c>
      <c r="BF130" s="2" t="s">
        <v>86</v>
      </c>
      <c r="BG130" s="2" t="s">
        <v>95</v>
      </c>
      <c r="BH130" s="2" t="s">
        <v>2435</v>
      </c>
      <c r="BI130" s="2" t="str">
        <f>HYPERLINK("https%3A%2F%2Fwww.webofscience.com%2Fwos%2Fwoscc%2Ffull-record%2FWOS:000602450400001","View Full Record in Web of Science")</f>
        <v>View Full Record in Web of Science</v>
      </c>
    </row>
    <row r="131" spans="1:61" ht="12.75" x14ac:dyDescent="0.2">
      <c r="A131" s="8">
        <v>127</v>
      </c>
      <c r="B131" s="8" t="s">
        <v>1049</v>
      </c>
      <c r="C131" s="8" t="s">
        <v>2436</v>
      </c>
      <c r="D131" s="9" t="s">
        <v>2437</v>
      </c>
      <c r="E131" s="9" t="s">
        <v>2438</v>
      </c>
      <c r="F131" s="11" t="str">
        <f>HYPERLINK("http://dx.doi.org/10.3390/su141912009","http://dx.doi.org/10.3390/su141912009")</f>
        <v>http://dx.doi.org/10.3390/su141912009</v>
      </c>
      <c r="G131" s="9" t="s">
        <v>200</v>
      </c>
      <c r="H131" s="9" t="s">
        <v>2439</v>
      </c>
      <c r="I131" s="9" t="s">
        <v>2440</v>
      </c>
      <c r="J131" s="9" t="s">
        <v>522</v>
      </c>
      <c r="K131" s="9" t="s">
        <v>68</v>
      </c>
      <c r="L131" s="9" t="s">
        <v>2441</v>
      </c>
      <c r="M131" s="9" t="s">
        <v>2442</v>
      </c>
      <c r="N131" s="9" t="s">
        <v>2443</v>
      </c>
      <c r="O131" s="9" t="s">
        <v>2444</v>
      </c>
      <c r="P131" s="9" t="s">
        <v>2445</v>
      </c>
      <c r="Q131" s="9" t="s">
        <v>2446</v>
      </c>
      <c r="R131" s="9" t="s">
        <v>2447</v>
      </c>
      <c r="S131" s="9" t="s">
        <v>2448</v>
      </c>
      <c r="T131" s="9" t="s">
        <v>86</v>
      </c>
      <c r="U131" s="9" t="s">
        <v>86</v>
      </c>
      <c r="V131" s="9" t="s">
        <v>86</v>
      </c>
      <c r="W131" s="9" t="s">
        <v>80</v>
      </c>
      <c r="X131" s="12">
        <v>87</v>
      </c>
      <c r="Y131" s="12">
        <v>8</v>
      </c>
      <c r="Z131" s="12">
        <v>8</v>
      </c>
      <c r="AA131" s="12">
        <v>7</v>
      </c>
      <c r="AB131" s="12">
        <v>21</v>
      </c>
      <c r="AC131" s="9" t="s">
        <v>211</v>
      </c>
      <c r="AD131" s="9" t="s">
        <v>212</v>
      </c>
      <c r="AE131" s="9" t="s">
        <v>213</v>
      </c>
      <c r="AF131" s="9" t="s">
        <v>86</v>
      </c>
      <c r="AG131" s="9" t="s">
        <v>531</v>
      </c>
      <c r="AH131" s="9" t="s">
        <v>86</v>
      </c>
      <c r="AI131" s="9" t="s">
        <v>532</v>
      </c>
      <c r="AJ131" s="9" t="s">
        <v>533</v>
      </c>
      <c r="AK131" s="9" t="s">
        <v>873</v>
      </c>
      <c r="AL131" s="12">
        <v>2022</v>
      </c>
      <c r="AM131" s="12">
        <v>14</v>
      </c>
      <c r="AN131" s="12">
        <v>19</v>
      </c>
      <c r="AO131" s="9" t="s">
        <v>86</v>
      </c>
      <c r="AP131" s="9" t="s">
        <v>86</v>
      </c>
      <c r="AQ131" s="9" t="s">
        <v>86</v>
      </c>
      <c r="AR131" s="9" t="s">
        <v>86</v>
      </c>
      <c r="AS131" s="9" t="s">
        <v>86</v>
      </c>
      <c r="AT131" s="9" t="s">
        <v>86</v>
      </c>
      <c r="AU131" s="12">
        <v>12009</v>
      </c>
      <c r="AV131" s="9" t="s">
        <v>86</v>
      </c>
      <c r="AW131" s="9" t="s">
        <v>86</v>
      </c>
      <c r="AX131" s="12">
        <v>18</v>
      </c>
      <c r="AY131" s="9" t="s">
        <v>535</v>
      </c>
      <c r="AZ131" s="9" t="s">
        <v>536</v>
      </c>
      <c r="BA131" s="9" t="s">
        <v>537</v>
      </c>
      <c r="BB131" s="9" t="s">
        <v>2449</v>
      </c>
      <c r="BC131" s="9" t="s">
        <v>86</v>
      </c>
      <c r="BD131" s="9" t="s">
        <v>321</v>
      </c>
      <c r="BE131" s="9" t="s">
        <v>86</v>
      </c>
      <c r="BF131" s="9" t="s">
        <v>86</v>
      </c>
      <c r="BG131" s="9" t="s">
        <v>95</v>
      </c>
      <c r="BH131" s="9" t="s">
        <v>2450</v>
      </c>
      <c r="BI131" s="9" t="str">
        <f>HYPERLINK("https%3A%2F%2Fwww.webofscience.com%2Fwos%2Fwoscc%2Ffull-record%2FWOS:000867260800001","View Full Record in Web of Science")</f>
        <v>View Full Record in Web of Science</v>
      </c>
    </row>
    <row r="132" spans="1:61" customFormat="1" ht="12.75" x14ac:dyDescent="0.2">
      <c r="A132" s="1">
        <v>128</v>
      </c>
      <c r="B132" s="1" t="s">
        <v>1068</v>
      </c>
      <c r="C132" s="1" t="s">
        <v>2451</v>
      </c>
      <c r="D132" s="2" t="s">
        <v>2452</v>
      </c>
      <c r="E132" s="2" t="s">
        <v>2453</v>
      </c>
      <c r="F132" s="3" t="str">
        <f>HYPERLINK("http://dx.doi.org/10.1007/s10661-019-7574-1","http://dx.doi.org/10.1007/s10661-019-7574-1")</f>
        <v>http://dx.doi.org/10.1007/s10661-019-7574-1</v>
      </c>
      <c r="G132" s="2" t="s">
        <v>200</v>
      </c>
      <c r="H132" s="2" t="s">
        <v>2454</v>
      </c>
      <c r="I132" s="2" t="s">
        <v>2455</v>
      </c>
      <c r="J132" s="2" t="s">
        <v>401</v>
      </c>
      <c r="K132" s="2" t="s">
        <v>68</v>
      </c>
      <c r="L132" s="2" t="s">
        <v>2456</v>
      </c>
      <c r="M132" s="2" t="s">
        <v>2457</v>
      </c>
      <c r="N132" s="2" t="s">
        <v>2458</v>
      </c>
      <c r="O132" s="2" t="s">
        <v>2459</v>
      </c>
      <c r="P132" s="2" t="s">
        <v>2460</v>
      </c>
      <c r="Q132" s="2" t="s">
        <v>561</v>
      </c>
      <c r="R132" s="2" t="s">
        <v>86</v>
      </c>
      <c r="S132" s="2" t="s">
        <v>2461</v>
      </c>
      <c r="T132" s="2" t="s">
        <v>86</v>
      </c>
      <c r="U132" s="2" t="s">
        <v>86</v>
      </c>
      <c r="V132" s="2" t="s">
        <v>86</v>
      </c>
      <c r="W132" s="2" t="s">
        <v>80</v>
      </c>
      <c r="X132" s="4">
        <v>31</v>
      </c>
      <c r="Y132" s="4">
        <v>21</v>
      </c>
      <c r="Z132" s="4">
        <v>24</v>
      </c>
      <c r="AA132" s="4">
        <v>12</v>
      </c>
      <c r="AB132" s="4">
        <v>160</v>
      </c>
      <c r="AC132" s="2" t="s">
        <v>139</v>
      </c>
      <c r="AD132" s="2" t="s">
        <v>140</v>
      </c>
      <c r="AE132" s="2" t="s">
        <v>141</v>
      </c>
      <c r="AF132" s="2" t="s">
        <v>412</v>
      </c>
      <c r="AG132" s="2" t="s">
        <v>413</v>
      </c>
      <c r="AH132" s="2" t="s">
        <v>86</v>
      </c>
      <c r="AI132" s="2" t="s">
        <v>414</v>
      </c>
      <c r="AJ132" s="2" t="s">
        <v>415</v>
      </c>
      <c r="AK132" s="2" t="s">
        <v>1458</v>
      </c>
      <c r="AL132" s="4">
        <v>2019</v>
      </c>
      <c r="AM132" s="4">
        <v>191</v>
      </c>
      <c r="AN132" s="4">
        <v>7</v>
      </c>
      <c r="AO132" s="2" t="s">
        <v>86</v>
      </c>
      <c r="AP132" s="2" t="s">
        <v>86</v>
      </c>
      <c r="AQ132" s="2" t="s">
        <v>86</v>
      </c>
      <c r="AR132" s="2" t="s">
        <v>86</v>
      </c>
      <c r="AS132" s="2" t="s">
        <v>86</v>
      </c>
      <c r="AT132" s="2" t="s">
        <v>86</v>
      </c>
      <c r="AU132" s="4">
        <v>438</v>
      </c>
      <c r="AV132" s="2" t="s">
        <v>86</v>
      </c>
      <c r="AW132" s="2" t="s">
        <v>86</v>
      </c>
      <c r="AX132" s="4">
        <v>8</v>
      </c>
      <c r="AY132" s="2" t="s">
        <v>91</v>
      </c>
      <c r="AZ132" s="2" t="s">
        <v>92</v>
      </c>
      <c r="BA132" s="2" t="s">
        <v>93</v>
      </c>
      <c r="BB132" s="2" t="s">
        <v>2462</v>
      </c>
      <c r="BC132" s="4">
        <v>31203457</v>
      </c>
      <c r="BD132" s="2" t="s">
        <v>86</v>
      </c>
      <c r="BE132" s="2" t="s">
        <v>86</v>
      </c>
      <c r="BF132" s="2" t="s">
        <v>86</v>
      </c>
      <c r="BG132" s="2" t="s">
        <v>95</v>
      </c>
      <c r="BH132" s="2" t="s">
        <v>2463</v>
      </c>
      <c r="BI132" s="2" t="str">
        <f>HYPERLINK("https%3A%2F%2Fwww.webofscience.com%2Fwos%2Fwoscc%2Ffull-record%2FWOS:000471696600007","View Full Record in Web of Science")</f>
        <v>View Full Record in Web of Science</v>
      </c>
    </row>
    <row r="133" spans="1:61" customFormat="1" ht="12.75" x14ac:dyDescent="0.2">
      <c r="A133" s="1">
        <v>129</v>
      </c>
      <c r="B133" s="1" t="s">
        <v>1068</v>
      </c>
      <c r="C133" s="1" t="s">
        <v>2464</v>
      </c>
      <c r="D133" s="2" t="s">
        <v>2465</v>
      </c>
      <c r="E133" s="2" t="s">
        <v>2466</v>
      </c>
      <c r="F133" s="3" t="str">
        <f>HYPERLINK("http://dx.doi.org/10.1016/j.marpolbul.2022.113407","http://dx.doi.org/10.1016/j.marpolbul.2022.113407")</f>
        <v>http://dx.doi.org/10.1016/j.marpolbul.2022.113407</v>
      </c>
      <c r="G133" s="2" t="s">
        <v>200</v>
      </c>
      <c r="H133" s="2" t="s">
        <v>2467</v>
      </c>
      <c r="I133" s="2" t="s">
        <v>2468</v>
      </c>
      <c r="J133" s="2" t="s">
        <v>424</v>
      </c>
      <c r="K133" s="2" t="s">
        <v>68</v>
      </c>
      <c r="L133" s="2" t="s">
        <v>2469</v>
      </c>
      <c r="M133" s="2" t="s">
        <v>2470</v>
      </c>
      <c r="N133" s="2" t="s">
        <v>2471</v>
      </c>
      <c r="O133" s="2" t="s">
        <v>2472</v>
      </c>
      <c r="P133" s="2" t="s">
        <v>2473</v>
      </c>
      <c r="Q133" s="2" t="s">
        <v>2474</v>
      </c>
      <c r="R133" s="2" t="s">
        <v>2475</v>
      </c>
      <c r="S133" s="2" t="s">
        <v>2476</v>
      </c>
      <c r="T133" s="2" t="s">
        <v>86</v>
      </c>
      <c r="U133" s="2" t="s">
        <v>86</v>
      </c>
      <c r="V133" s="2" t="s">
        <v>86</v>
      </c>
      <c r="W133" s="2" t="s">
        <v>80</v>
      </c>
      <c r="X133" s="4">
        <v>86</v>
      </c>
      <c r="Y133" s="4">
        <v>7</v>
      </c>
      <c r="Z133" s="4">
        <v>7</v>
      </c>
      <c r="AA133" s="4">
        <v>3</v>
      </c>
      <c r="AB133" s="4">
        <v>13</v>
      </c>
      <c r="AC133" s="2" t="s">
        <v>237</v>
      </c>
      <c r="AD133" s="2" t="s">
        <v>115</v>
      </c>
      <c r="AE133" s="2" t="s">
        <v>238</v>
      </c>
      <c r="AF133" s="2" t="s">
        <v>436</v>
      </c>
      <c r="AG133" s="2" t="s">
        <v>437</v>
      </c>
      <c r="AH133" s="2" t="s">
        <v>86</v>
      </c>
      <c r="AI133" s="2" t="s">
        <v>438</v>
      </c>
      <c r="AJ133" s="2" t="s">
        <v>439</v>
      </c>
      <c r="AK133" s="2" t="s">
        <v>366</v>
      </c>
      <c r="AL133" s="4">
        <v>2022</v>
      </c>
      <c r="AM133" s="4">
        <v>176</v>
      </c>
      <c r="AN133" s="2" t="s">
        <v>86</v>
      </c>
      <c r="AO133" s="2" t="s">
        <v>86</v>
      </c>
      <c r="AP133" s="2" t="s">
        <v>86</v>
      </c>
      <c r="AQ133" s="2" t="s">
        <v>86</v>
      </c>
      <c r="AR133" s="2" t="s">
        <v>86</v>
      </c>
      <c r="AS133" s="2" t="s">
        <v>86</v>
      </c>
      <c r="AT133" s="2" t="s">
        <v>86</v>
      </c>
      <c r="AU133" s="4">
        <v>113407</v>
      </c>
      <c r="AV133" s="2" t="s">
        <v>86</v>
      </c>
      <c r="AW133" s="2" t="s">
        <v>2477</v>
      </c>
      <c r="AX133" s="4">
        <v>10</v>
      </c>
      <c r="AY133" s="2" t="s">
        <v>441</v>
      </c>
      <c r="AZ133" s="2" t="s">
        <v>92</v>
      </c>
      <c r="BA133" s="2" t="s">
        <v>442</v>
      </c>
      <c r="BB133" s="2" t="s">
        <v>2478</v>
      </c>
      <c r="BC133" s="4">
        <v>35168069</v>
      </c>
      <c r="BD133" s="2" t="s">
        <v>86</v>
      </c>
      <c r="BE133" s="2" t="s">
        <v>86</v>
      </c>
      <c r="BF133" s="2" t="s">
        <v>86</v>
      </c>
      <c r="BG133" s="2" t="s">
        <v>95</v>
      </c>
      <c r="BH133" s="2" t="s">
        <v>2479</v>
      </c>
      <c r="BI133" s="2" t="str">
        <f>HYPERLINK("https%3A%2F%2Fwww.webofscience.com%2Fwos%2Fwoscc%2Ffull-record%2FWOS:000791941500004","View Full Record in Web of Science")</f>
        <v>View Full Record in Web of Science</v>
      </c>
    </row>
    <row r="134" spans="1:61" ht="12.75" x14ac:dyDescent="0.2">
      <c r="A134" s="8">
        <v>130</v>
      </c>
      <c r="B134" s="8" t="s">
        <v>1049</v>
      </c>
      <c r="C134" s="8" t="s">
        <v>2480</v>
      </c>
      <c r="D134" s="9" t="s">
        <v>2481</v>
      </c>
      <c r="E134" s="9" t="s">
        <v>2482</v>
      </c>
      <c r="F134" s="11" t="str">
        <f>HYPERLINK("http://dx.doi.org/10.1016/j.chemosphere.2023.138317","http://dx.doi.org/10.1016/j.chemosphere.2023.138317")</f>
        <v>http://dx.doi.org/10.1016/j.chemosphere.2023.138317</v>
      </c>
      <c r="G134" s="9" t="s">
        <v>200</v>
      </c>
      <c r="H134" s="9" t="s">
        <v>2483</v>
      </c>
      <c r="I134" s="9" t="s">
        <v>2484</v>
      </c>
      <c r="J134" s="9" t="s">
        <v>227</v>
      </c>
      <c r="K134" s="9" t="s">
        <v>68</v>
      </c>
      <c r="L134" s="9" t="s">
        <v>2485</v>
      </c>
      <c r="M134" s="9" t="s">
        <v>2486</v>
      </c>
      <c r="N134" s="9" t="s">
        <v>2487</v>
      </c>
      <c r="O134" s="9" t="s">
        <v>2488</v>
      </c>
      <c r="P134" s="9" t="s">
        <v>2489</v>
      </c>
      <c r="Q134" s="9" t="s">
        <v>1702</v>
      </c>
      <c r="R134" s="9" t="s">
        <v>2490</v>
      </c>
      <c r="S134" s="9" t="s">
        <v>2491</v>
      </c>
      <c r="T134" s="9" t="s">
        <v>2492</v>
      </c>
      <c r="U134" s="9" t="s">
        <v>2492</v>
      </c>
      <c r="V134" s="9" t="s">
        <v>2493</v>
      </c>
      <c r="W134" s="9" t="s">
        <v>80</v>
      </c>
      <c r="X134" s="12">
        <v>86</v>
      </c>
      <c r="Y134" s="12">
        <v>1</v>
      </c>
      <c r="Z134" s="12">
        <v>1</v>
      </c>
      <c r="AA134" s="12">
        <v>2</v>
      </c>
      <c r="AB134" s="12">
        <v>2</v>
      </c>
      <c r="AC134" s="9" t="s">
        <v>237</v>
      </c>
      <c r="AD134" s="9" t="s">
        <v>115</v>
      </c>
      <c r="AE134" s="9" t="s">
        <v>238</v>
      </c>
      <c r="AF134" s="9" t="s">
        <v>239</v>
      </c>
      <c r="AG134" s="9" t="s">
        <v>240</v>
      </c>
      <c r="AH134" s="9" t="s">
        <v>86</v>
      </c>
      <c r="AI134" s="9" t="s">
        <v>227</v>
      </c>
      <c r="AJ134" s="9" t="s">
        <v>241</v>
      </c>
      <c r="AK134" s="9" t="s">
        <v>1220</v>
      </c>
      <c r="AL134" s="12">
        <v>2023</v>
      </c>
      <c r="AM134" s="12">
        <v>324</v>
      </c>
      <c r="AN134" s="9" t="s">
        <v>86</v>
      </c>
      <c r="AO134" s="9" t="s">
        <v>86</v>
      </c>
      <c r="AP134" s="9" t="s">
        <v>86</v>
      </c>
      <c r="AQ134" s="9" t="s">
        <v>86</v>
      </c>
      <c r="AR134" s="9" t="s">
        <v>86</v>
      </c>
      <c r="AS134" s="9" t="s">
        <v>86</v>
      </c>
      <c r="AT134" s="9" t="s">
        <v>86</v>
      </c>
      <c r="AU134" s="12">
        <v>138317</v>
      </c>
      <c r="AV134" s="9" t="s">
        <v>86</v>
      </c>
      <c r="AW134" s="9" t="s">
        <v>1221</v>
      </c>
      <c r="AX134" s="12">
        <v>10</v>
      </c>
      <c r="AY134" s="9" t="s">
        <v>91</v>
      </c>
      <c r="AZ134" s="9" t="s">
        <v>92</v>
      </c>
      <c r="BA134" s="9" t="s">
        <v>93</v>
      </c>
      <c r="BB134" s="9" t="s">
        <v>2494</v>
      </c>
      <c r="BC134" s="12">
        <v>36889476</v>
      </c>
      <c r="BD134" s="9" t="s">
        <v>86</v>
      </c>
      <c r="BE134" s="9" t="s">
        <v>86</v>
      </c>
      <c r="BF134" s="9" t="s">
        <v>86</v>
      </c>
      <c r="BG134" s="9" t="s">
        <v>95</v>
      </c>
      <c r="BH134" s="9" t="s">
        <v>2495</v>
      </c>
      <c r="BI134" s="9" t="str">
        <f>HYPERLINK("https%3A%2F%2Fwww.webofscience.com%2Fwos%2Fwoscc%2Ffull-record%2FWOS:000972572600001","View Full Record in Web of Science")</f>
        <v>View Full Record in Web of Science</v>
      </c>
    </row>
    <row r="135" spans="1:61" customFormat="1" ht="12.75" x14ac:dyDescent="0.2">
      <c r="A135" s="1">
        <v>131</v>
      </c>
      <c r="B135" s="1" t="s">
        <v>1068</v>
      </c>
      <c r="C135" s="1" t="s">
        <v>2496</v>
      </c>
      <c r="D135" s="2" t="s">
        <v>2497</v>
      </c>
      <c r="E135" s="2" t="s">
        <v>2498</v>
      </c>
      <c r="F135" s="3" t="str">
        <f>HYPERLINK("http://dx.doi.org/10.26650/ASE2020679538","http://dx.doi.org/10.26650/ASE2020679538")</f>
        <v>http://dx.doi.org/10.26650/ASE2020679538</v>
      </c>
      <c r="G135" s="2" t="s">
        <v>200</v>
      </c>
      <c r="H135" s="2" t="s">
        <v>2499</v>
      </c>
      <c r="I135" s="2" t="s">
        <v>2500</v>
      </c>
      <c r="J135" s="2" t="s">
        <v>155</v>
      </c>
      <c r="K135" s="2" t="s">
        <v>68</v>
      </c>
      <c r="L135" s="2" t="s">
        <v>2501</v>
      </c>
      <c r="M135" s="2" t="s">
        <v>2502</v>
      </c>
      <c r="N135" s="2" t="s">
        <v>2503</v>
      </c>
      <c r="O135" s="2" t="s">
        <v>1192</v>
      </c>
      <c r="P135" s="2" t="s">
        <v>2504</v>
      </c>
      <c r="Q135" s="2" t="s">
        <v>2505</v>
      </c>
      <c r="R135" s="2" t="s">
        <v>2506</v>
      </c>
      <c r="S135" s="2" t="s">
        <v>2507</v>
      </c>
      <c r="T135" s="2" t="s">
        <v>86</v>
      </c>
      <c r="U135" s="2" t="s">
        <v>86</v>
      </c>
      <c r="V135" s="2" t="s">
        <v>86</v>
      </c>
      <c r="W135" s="2" t="s">
        <v>80</v>
      </c>
      <c r="X135" s="4">
        <v>34</v>
      </c>
      <c r="Y135" s="4">
        <v>1</v>
      </c>
      <c r="Z135" s="4">
        <v>1</v>
      </c>
      <c r="AA135" s="4">
        <v>3</v>
      </c>
      <c r="AB135" s="4">
        <v>17</v>
      </c>
      <c r="AC135" s="2" t="s">
        <v>164</v>
      </c>
      <c r="AD135" s="2" t="s">
        <v>165</v>
      </c>
      <c r="AE135" s="2" t="s">
        <v>166</v>
      </c>
      <c r="AF135" s="2" t="s">
        <v>86</v>
      </c>
      <c r="AG135" s="2" t="s">
        <v>167</v>
      </c>
      <c r="AH135" s="2" t="s">
        <v>86</v>
      </c>
      <c r="AI135" s="2" t="s">
        <v>168</v>
      </c>
      <c r="AJ135" s="2" t="s">
        <v>169</v>
      </c>
      <c r="AK135" s="2" t="s">
        <v>86</v>
      </c>
      <c r="AL135" s="4">
        <v>2020</v>
      </c>
      <c r="AM135" s="4">
        <v>35</v>
      </c>
      <c r="AN135" s="4">
        <v>2</v>
      </c>
      <c r="AO135" s="2" t="s">
        <v>86</v>
      </c>
      <c r="AP135" s="2" t="s">
        <v>86</v>
      </c>
      <c r="AQ135" s="2" t="s">
        <v>86</v>
      </c>
      <c r="AR135" s="2" t="s">
        <v>86</v>
      </c>
      <c r="AS135" s="4">
        <v>31</v>
      </c>
      <c r="AT135" s="4">
        <v>35</v>
      </c>
      <c r="AU135" s="2" t="s">
        <v>86</v>
      </c>
      <c r="AV135" s="2" t="s">
        <v>86</v>
      </c>
      <c r="AW135" s="2" t="s">
        <v>86</v>
      </c>
      <c r="AX135" s="4">
        <v>5</v>
      </c>
      <c r="AY135" s="2" t="s">
        <v>170</v>
      </c>
      <c r="AZ135" s="2" t="s">
        <v>171</v>
      </c>
      <c r="BA135" s="2" t="s">
        <v>170</v>
      </c>
      <c r="BB135" s="2" t="s">
        <v>2508</v>
      </c>
      <c r="BC135" s="2" t="s">
        <v>86</v>
      </c>
      <c r="BD135" s="2" t="s">
        <v>220</v>
      </c>
      <c r="BE135" s="2" t="s">
        <v>86</v>
      </c>
      <c r="BF135" s="2" t="s">
        <v>86</v>
      </c>
      <c r="BG135" s="2" t="s">
        <v>95</v>
      </c>
      <c r="BH135" s="2" t="s">
        <v>2509</v>
      </c>
      <c r="BI135" s="2" t="str">
        <f>HYPERLINK("https%3A%2F%2Fwww.webofscience.com%2Fwos%2Fwoscc%2Ffull-record%2FWOS:000520041400001","View Full Record in Web of Science")</f>
        <v>View Full Record in Web of Science</v>
      </c>
    </row>
    <row r="136" spans="1:61" ht="12.75" x14ac:dyDescent="0.2">
      <c r="A136" s="8">
        <v>132</v>
      </c>
      <c r="B136" s="8" t="s">
        <v>1049</v>
      </c>
      <c r="C136" s="8" t="s">
        <v>2510</v>
      </c>
      <c r="D136" s="9" t="s">
        <v>2511</v>
      </c>
      <c r="E136" s="9" t="s">
        <v>2512</v>
      </c>
      <c r="F136" s="11" t="str">
        <f>HYPERLINK("http://dx.doi.org/10.1007/s11368-023-03550-7","http://dx.doi.org/10.1007/s11368-023-03550-7")</f>
        <v>http://dx.doi.org/10.1007/s11368-023-03550-7</v>
      </c>
      <c r="G136" s="9" t="s">
        <v>200</v>
      </c>
      <c r="H136" s="9" t="s">
        <v>2513</v>
      </c>
      <c r="I136" s="9" t="s">
        <v>2514</v>
      </c>
      <c r="J136" s="9" t="s">
        <v>2515</v>
      </c>
      <c r="K136" s="9" t="s">
        <v>68</v>
      </c>
      <c r="L136" s="9" t="s">
        <v>2516</v>
      </c>
      <c r="M136" s="9" t="s">
        <v>2517</v>
      </c>
      <c r="N136" s="9" t="s">
        <v>2518</v>
      </c>
      <c r="O136" s="9" t="s">
        <v>2519</v>
      </c>
      <c r="P136" s="9" t="s">
        <v>2520</v>
      </c>
      <c r="Q136" s="9" t="s">
        <v>2521</v>
      </c>
      <c r="R136" s="9" t="s">
        <v>2522</v>
      </c>
      <c r="S136" s="9" t="s">
        <v>2523</v>
      </c>
      <c r="T136" s="9" t="s">
        <v>2524</v>
      </c>
      <c r="U136" s="9" t="s">
        <v>1198</v>
      </c>
      <c r="V136" s="9" t="s">
        <v>2525</v>
      </c>
      <c r="W136" s="9" t="s">
        <v>80</v>
      </c>
      <c r="X136" s="12">
        <v>93</v>
      </c>
      <c r="Y136" s="12">
        <v>0</v>
      </c>
      <c r="Z136" s="12">
        <v>0</v>
      </c>
      <c r="AA136" s="12">
        <v>3</v>
      </c>
      <c r="AB136" s="12">
        <v>3</v>
      </c>
      <c r="AC136" s="9" t="s">
        <v>81</v>
      </c>
      <c r="AD136" s="9" t="s">
        <v>82</v>
      </c>
      <c r="AE136" s="9" t="s">
        <v>83</v>
      </c>
      <c r="AF136" s="9" t="s">
        <v>2526</v>
      </c>
      <c r="AG136" s="9" t="s">
        <v>2527</v>
      </c>
      <c r="AH136" s="9" t="s">
        <v>86</v>
      </c>
      <c r="AI136" s="9" t="s">
        <v>2528</v>
      </c>
      <c r="AJ136" s="9" t="s">
        <v>2529</v>
      </c>
      <c r="AK136" s="9" t="s">
        <v>1458</v>
      </c>
      <c r="AL136" s="12">
        <v>2023</v>
      </c>
      <c r="AM136" s="12">
        <v>23</v>
      </c>
      <c r="AN136" s="12">
        <v>7</v>
      </c>
      <c r="AO136" s="9" t="s">
        <v>86</v>
      </c>
      <c r="AP136" s="9" t="s">
        <v>86</v>
      </c>
      <c r="AQ136" s="9" t="s">
        <v>86</v>
      </c>
      <c r="AR136" s="9" t="s">
        <v>86</v>
      </c>
      <c r="AS136" s="12">
        <v>2892</v>
      </c>
      <c r="AT136" s="12">
        <v>2904</v>
      </c>
      <c r="AU136" s="9" t="s">
        <v>86</v>
      </c>
      <c r="AV136" s="9" t="s">
        <v>86</v>
      </c>
      <c r="AW136" s="9" t="s">
        <v>899</v>
      </c>
      <c r="AX136" s="12">
        <v>13</v>
      </c>
      <c r="AY136" s="9" t="s">
        <v>2530</v>
      </c>
      <c r="AZ136" s="9" t="s">
        <v>92</v>
      </c>
      <c r="BA136" s="9" t="s">
        <v>2531</v>
      </c>
      <c r="BB136" s="9" t="s">
        <v>2532</v>
      </c>
      <c r="BC136" s="9" t="s">
        <v>86</v>
      </c>
      <c r="BD136" s="9" t="s">
        <v>86</v>
      </c>
      <c r="BE136" s="9" t="s">
        <v>86</v>
      </c>
      <c r="BF136" s="9" t="s">
        <v>86</v>
      </c>
      <c r="BG136" s="9" t="s">
        <v>95</v>
      </c>
      <c r="BH136" s="9" t="s">
        <v>2533</v>
      </c>
      <c r="BI136" s="9" t="str">
        <f>HYPERLINK("https%3A%2F%2Fwww.webofscience.com%2Fwos%2Fwoscc%2Ffull-record%2FWOS:000999842600001","View Full Record in Web of Science")</f>
        <v>View Full Record in Web of Science</v>
      </c>
    </row>
    <row r="137" spans="1:61" customFormat="1" ht="12.75" x14ac:dyDescent="0.2">
      <c r="A137" s="1">
        <v>133</v>
      </c>
      <c r="B137" s="1" t="s">
        <v>1068</v>
      </c>
      <c r="C137" s="1" t="s">
        <v>2534</v>
      </c>
      <c r="D137" s="2" t="s">
        <v>2535</v>
      </c>
      <c r="E137" s="2" t="s">
        <v>2536</v>
      </c>
      <c r="F137" s="3" t="str">
        <f>HYPERLINK("http://dx.doi.org/10.26471/cjees/2022/017/198","http://dx.doi.org/10.26471/cjees/2022/017/198")</f>
        <v>http://dx.doi.org/10.26471/cjees/2022/017/198</v>
      </c>
      <c r="G137" s="2" t="s">
        <v>200</v>
      </c>
      <c r="H137" s="2" t="s">
        <v>2537</v>
      </c>
      <c r="I137" s="2" t="s">
        <v>2538</v>
      </c>
      <c r="J137" s="2" t="s">
        <v>2539</v>
      </c>
      <c r="K137" s="2" t="s">
        <v>68</v>
      </c>
      <c r="L137" s="2" t="s">
        <v>2540</v>
      </c>
      <c r="M137" s="2" t="s">
        <v>2541</v>
      </c>
      <c r="N137" s="2" t="s">
        <v>2542</v>
      </c>
      <c r="O137" s="2" t="s">
        <v>1502</v>
      </c>
      <c r="P137" s="2" t="s">
        <v>2543</v>
      </c>
      <c r="Q137" s="2" t="s">
        <v>2544</v>
      </c>
      <c r="R137" s="2" t="s">
        <v>2545</v>
      </c>
      <c r="S137" s="2" t="s">
        <v>2546</v>
      </c>
      <c r="T137" s="2" t="s">
        <v>2547</v>
      </c>
      <c r="U137" s="2" t="s">
        <v>2548</v>
      </c>
      <c r="V137" s="2" t="s">
        <v>2549</v>
      </c>
      <c r="W137" s="2" t="s">
        <v>80</v>
      </c>
      <c r="X137" s="4">
        <v>54</v>
      </c>
      <c r="Y137" s="4">
        <v>0</v>
      </c>
      <c r="Z137" s="4">
        <v>0</v>
      </c>
      <c r="AA137" s="4">
        <v>6</v>
      </c>
      <c r="AB137" s="4">
        <v>39</v>
      </c>
      <c r="AC137" s="2" t="s">
        <v>2550</v>
      </c>
      <c r="AD137" s="2" t="s">
        <v>2551</v>
      </c>
      <c r="AE137" s="2" t="s">
        <v>2552</v>
      </c>
      <c r="AF137" s="2" t="s">
        <v>2553</v>
      </c>
      <c r="AG137" s="2" t="s">
        <v>2554</v>
      </c>
      <c r="AH137" s="2" t="s">
        <v>86</v>
      </c>
      <c r="AI137" s="2" t="s">
        <v>2555</v>
      </c>
      <c r="AJ137" s="2" t="s">
        <v>2556</v>
      </c>
      <c r="AK137" s="2" t="s">
        <v>146</v>
      </c>
      <c r="AL137" s="4">
        <v>2022</v>
      </c>
      <c r="AM137" s="4">
        <v>17</v>
      </c>
      <c r="AN137" s="4">
        <v>1</v>
      </c>
      <c r="AO137" s="2" t="s">
        <v>86</v>
      </c>
      <c r="AP137" s="2" t="s">
        <v>86</v>
      </c>
      <c r="AQ137" s="2" t="s">
        <v>86</v>
      </c>
      <c r="AR137" s="2" t="s">
        <v>86</v>
      </c>
      <c r="AS137" s="4">
        <v>35</v>
      </c>
      <c r="AT137" s="4">
        <v>47</v>
      </c>
      <c r="AU137" s="2" t="s">
        <v>86</v>
      </c>
      <c r="AV137" s="2" t="s">
        <v>86</v>
      </c>
      <c r="AW137" s="2" t="s">
        <v>86</v>
      </c>
      <c r="AX137" s="4">
        <v>13</v>
      </c>
      <c r="AY137" s="2" t="s">
        <v>91</v>
      </c>
      <c r="AZ137" s="2" t="s">
        <v>92</v>
      </c>
      <c r="BA137" s="2" t="s">
        <v>93</v>
      </c>
      <c r="BB137" s="2" t="s">
        <v>2557</v>
      </c>
      <c r="BC137" s="2" t="s">
        <v>86</v>
      </c>
      <c r="BD137" s="2" t="s">
        <v>86</v>
      </c>
      <c r="BE137" s="2" t="s">
        <v>86</v>
      </c>
      <c r="BF137" s="2" t="s">
        <v>86</v>
      </c>
      <c r="BG137" s="2" t="s">
        <v>95</v>
      </c>
      <c r="BH137" s="2" t="s">
        <v>2558</v>
      </c>
      <c r="BI137" s="2" t="str">
        <f>HYPERLINK("https%3A%2F%2Fwww.webofscience.com%2Fwos%2Fwoscc%2Ffull-record%2FWOS:000800016800002","View Full Record in Web of Science")</f>
        <v>View Full Record in Web of Science</v>
      </c>
    </row>
    <row r="138" spans="1:61" customFormat="1" ht="12.75" x14ac:dyDescent="0.2">
      <c r="A138" s="1">
        <v>134</v>
      </c>
      <c r="B138" s="1" t="s">
        <v>1068</v>
      </c>
      <c r="C138" s="1" t="s">
        <v>2559</v>
      </c>
      <c r="D138" s="2" t="s">
        <v>2560</v>
      </c>
      <c r="E138" s="2" t="s">
        <v>2561</v>
      </c>
      <c r="F138" s="3" t="str">
        <f>HYPERLINK("http://dx.doi.org/10.1016/j.jwpe.2020.101604","http://dx.doi.org/10.1016/j.jwpe.2020.101604")</f>
        <v>http://dx.doi.org/10.1016/j.jwpe.2020.101604</v>
      </c>
      <c r="G138" s="2" t="s">
        <v>200</v>
      </c>
      <c r="H138" s="2" t="s">
        <v>2562</v>
      </c>
      <c r="I138" s="2" t="s">
        <v>2563</v>
      </c>
      <c r="J138" s="2" t="s">
        <v>2564</v>
      </c>
      <c r="K138" s="2" t="s">
        <v>68</v>
      </c>
      <c r="L138" s="2" t="s">
        <v>2565</v>
      </c>
      <c r="M138" s="2" t="s">
        <v>2566</v>
      </c>
      <c r="N138" s="2" t="s">
        <v>2567</v>
      </c>
      <c r="O138" s="2" t="s">
        <v>428</v>
      </c>
      <c r="P138" s="2" t="s">
        <v>2568</v>
      </c>
      <c r="Q138" s="2" t="s">
        <v>2569</v>
      </c>
      <c r="R138" s="2" t="s">
        <v>431</v>
      </c>
      <c r="S138" s="2" t="s">
        <v>2570</v>
      </c>
      <c r="T138" s="2" t="s">
        <v>2571</v>
      </c>
      <c r="U138" s="2" t="s">
        <v>2572</v>
      </c>
      <c r="V138" s="2" t="s">
        <v>2573</v>
      </c>
      <c r="W138" s="2" t="s">
        <v>80</v>
      </c>
      <c r="X138" s="4">
        <v>64</v>
      </c>
      <c r="Y138" s="4">
        <v>40</v>
      </c>
      <c r="Z138" s="4">
        <v>40</v>
      </c>
      <c r="AA138" s="4">
        <v>15</v>
      </c>
      <c r="AB138" s="4">
        <v>65</v>
      </c>
      <c r="AC138" s="2" t="s">
        <v>585</v>
      </c>
      <c r="AD138" s="2" t="s">
        <v>586</v>
      </c>
      <c r="AE138" s="2" t="s">
        <v>587</v>
      </c>
      <c r="AF138" s="2" t="s">
        <v>2574</v>
      </c>
      <c r="AG138" s="2" t="s">
        <v>86</v>
      </c>
      <c r="AH138" s="2" t="s">
        <v>86</v>
      </c>
      <c r="AI138" s="2" t="s">
        <v>2575</v>
      </c>
      <c r="AJ138" s="2" t="s">
        <v>2576</v>
      </c>
      <c r="AK138" s="2" t="s">
        <v>217</v>
      </c>
      <c r="AL138" s="4">
        <v>2020</v>
      </c>
      <c r="AM138" s="4">
        <v>38</v>
      </c>
      <c r="AN138" s="2" t="s">
        <v>86</v>
      </c>
      <c r="AO138" s="2" t="s">
        <v>86</v>
      </c>
      <c r="AP138" s="2" t="s">
        <v>86</v>
      </c>
      <c r="AQ138" s="2" t="s">
        <v>86</v>
      </c>
      <c r="AR138" s="2" t="s">
        <v>86</v>
      </c>
      <c r="AS138" s="2" t="s">
        <v>86</v>
      </c>
      <c r="AT138" s="2" t="s">
        <v>86</v>
      </c>
      <c r="AU138" s="4">
        <v>101604</v>
      </c>
      <c r="AV138" s="2" t="s">
        <v>86</v>
      </c>
      <c r="AW138" s="2" t="s">
        <v>86</v>
      </c>
      <c r="AX138" s="4">
        <v>8</v>
      </c>
      <c r="AY138" s="2" t="s">
        <v>2577</v>
      </c>
      <c r="AZ138" s="2" t="s">
        <v>92</v>
      </c>
      <c r="BA138" s="2" t="s">
        <v>2578</v>
      </c>
      <c r="BB138" s="2" t="s">
        <v>2579</v>
      </c>
      <c r="BC138" s="2" t="s">
        <v>86</v>
      </c>
      <c r="BD138" s="2" t="s">
        <v>86</v>
      </c>
      <c r="BE138" s="2" t="s">
        <v>86</v>
      </c>
      <c r="BF138" s="2" t="s">
        <v>86</v>
      </c>
      <c r="BG138" s="2" t="s">
        <v>95</v>
      </c>
      <c r="BH138" s="2" t="s">
        <v>2580</v>
      </c>
      <c r="BI138" s="2" t="str">
        <f>HYPERLINK("https%3A%2F%2Fwww.webofscience.com%2Fwos%2Fwoscc%2Ffull-record%2FWOS:000598145900004","View Full Record in Web of Science")</f>
        <v>View Full Record in Web of Science</v>
      </c>
    </row>
    <row r="139" spans="1:61" ht="12.75" x14ac:dyDescent="0.2">
      <c r="A139" s="8">
        <v>135</v>
      </c>
      <c r="B139" s="8" t="s">
        <v>1049</v>
      </c>
      <c r="C139" s="8" t="s">
        <v>2581</v>
      </c>
      <c r="D139" s="9" t="s">
        <v>2582</v>
      </c>
      <c r="E139" s="9" t="s">
        <v>2583</v>
      </c>
      <c r="F139" s="11" t="str">
        <f>HYPERLINK("http://dx.doi.org/10.1016/j.marpolbul.2021.112733","http://dx.doi.org/10.1016/j.marpolbul.2021.112733")</f>
        <v>http://dx.doi.org/10.1016/j.marpolbul.2021.112733</v>
      </c>
      <c r="G139" s="9" t="s">
        <v>200</v>
      </c>
      <c r="H139" s="9" t="s">
        <v>2584</v>
      </c>
      <c r="I139" s="9" t="s">
        <v>2585</v>
      </c>
      <c r="J139" s="9" t="s">
        <v>424</v>
      </c>
      <c r="K139" s="9" t="s">
        <v>68</v>
      </c>
      <c r="L139" s="9" t="s">
        <v>2586</v>
      </c>
      <c r="M139" s="9" t="s">
        <v>2587</v>
      </c>
      <c r="N139" s="9" t="s">
        <v>2588</v>
      </c>
      <c r="O139" s="9" t="s">
        <v>2589</v>
      </c>
      <c r="P139" s="9" t="s">
        <v>1685</v>
      </c>
      <c r="Q139" s="9" t="s">
        <v>1686</v>
      </c>
      <c r="R139" s="9" t="s">
        <v>86</v>
      </c>
      <c r="S139" s="9" t="s">
        <v>86</v>
      </c>
      <c r="T139" s="9" t="s">
        <v>2590</v>
      </c>
      <c r="U139" s="9" t="s">
        <v>2591</v>
      </c>
      <c r="V139" s="9" t="s">
        <v>2592</v>
      </c>
      <c r="W139" s="9" t="s">
        <v>80</v>
      </c>
      <c r="X139" s="12">
        <v>84</v>
      </c>
      <c r="Y139" s="12">
        <v>12</v>
      </c>
      <c r="Z139" s="12">
        <v>12</v>
      </c>
      <c r="AA139" s="12">
        <v>3</v>
      </c>
      <c r="AB139" s="12">
        <v>27</v>
      </c>
      <c r="AC139" s="9" t="s">
        <v>237</v>
      </c>
      <c r="AD139" s="9" t="s">
        <v>115</v>
      </c>
      <c r="AE139" s="9" t="s">
        <v>238</v>
      </c>
      <c r="AF139" s="9" t="s">
        <v>436</v>
      </c>
      <c r="AG139" s="9" t="s">
        <v>437</v>
      </c>
      <c r="AH139" s="9" t="s">
        <v>86</v>
      </c>
      <c r="AI139" s="9" t="s">
        <v>438</v>
      </c>
      <c r="AJ139" s="9" t="s">
        <v>439</v>
      </c>
      <c r="AK139" s="9" t="s">
        <v>873</v>
      </c>
      <c r="AL139" s="12">
        <v>2021</v>
      </c>
      <c r="AM139" s="12">
        <v>171</v>
      </c>
      <c r="AN139" s="9" t="s">
        <v>86</v>
      </c>
      <c r="AO139" s="9" t="s">
        <v>86</v>
      </c>
      <c r="AP139" s="9" t="s">
        <v>86</v>
      </c>
      <c r="AQ139" s="9" t="s">
        <v>86</v>
      </c>
      <c r="AR139" s="9" t="s">
        <v>86</v>
      </c>
      <c r="AS139" s="9" t="s">
        <v>86</v>
      </c>
      <c r="AT139" s="9" t="s">
        <v>86</v>
      </c>
      <c r="AU139" s="12">
        <v>112733</v>
      </c>
      <c r="AV139" s="9" t="s">
        <v>86</v>
      </c>
      <c r="AW139" s="9" t="s">
        <v>1160</v>
      </c>
      <c r="AX139" s="12">
        <v>11</v>
      </c>
      <c r="AY139" s="9" t="s">
        <v>441</v>
      </c>
      <c r="AZ139" s="9" t="s">
        <v>92</v>
      </c>
      <c r="BA139" s="9" t="s">
        <v>442</v>
      </c>
      <c r="BB139" s="9" t="s">
        <v>2593</v>
      </c>
      <c r="BC139" s="12">
        <v>34293618</v>
      </c>
      <c r="BD139" s="9" t="s">
        <v>86</v>
      </c>
      <c r="BE139" s="9" t="s">
        <v>86</v>
      </c>
      <c r="BF139" s="9" t="s">
        <v>86</v>
      </c>
      <c r="BG139" s="9" t="s">
        <v>95</v>
      </c>
      <c r="BH139" s="9" t="s">
        <v>2594</v>
      </c>
      <c r="BI139" s="9" t="str">
        <f>HYPERLINK("https%3A%2F%2Fwww.webofscience.com%2Fwos%2Fwoscc%2Ffull-record%2FWOS:000701952200002","View Full Record in Web of Science")</f>
        <v>View Full Record in Web of Science</v>
      </c>
    </row>
    <row r="140" spans="1:61" ht="12.75" x14ac:dyDescent="0.2">
      <c r="A140" s="8">
        <v>136</v>
      </c>
      <c r="B140" s="8" t="s">
        <v>1049</v>
      </c>
      <c r="C140" s="8" t="s">
        <v>2595</v>
      </c>
      <c r="D140" s="9" t="s">
        <v>2596</v>
      </c>
      <c r="E140" s="9" t="s">
        <v>2597</v>
      </c>
      <c r="F140" s="11" t="str">
        <f>HYPERLINK("http://dx.doi.org/10.1007/s11270-020-04653-4","http://dx.doi.org/10.1007/s11270-020-04653-4")</f>
        <v>http://dx.doi.org/10.1007/s11270-020-04653-4</v>
      </c>
      <c r="G140" s="9" t="s">
        <v>200</v>
      </c>
      <c r="H140" s="9" t="s">
        <v>2598</v>
      </c>
      <c r="I140" s="9" t="s">
        <v>2599</v>
      </c>
      <c r="J140" s="9" t="s">
        <v>1122</v>
      </c>
      <c r="K140" s="9" t="s">
        <v>68</v>
      </c>
      <c r="L140" s="9" t="s">
        <v>2600</v>
      </c>
      <c r="M140" s="9" t="s">
        <v>2601</v>
      </c>
      <c r="N140" s="9" t="s">
        <v>2602</v>
      </c>
      <c r="O140" s="9" t="s">
        <v>2603</v>
      </c>
      <c r="P140" s="9" t="s">
        <v>2604</v>
      </c>
      <c r="Q140" s="9" t="s">
        <v>2605</v>
      </c>
      <c r="R140" s="9" t="s">
        <v>2606</v>
      </c>
      <c r="S140" s="9" t="s">
        <v>2607</v>
      </c>
      <c r="T140" s="9" t="s">
        <v>86</v>
      </c>
      <c r="U140" s="9" t="s">
        <v>86</v>
      </c>
      <c r="V140" s="9" t="s">
        <v>86</v>
      </c>
      <c r="W140" s="9" t="s">
        <v>80</v>
      </c>
      <c r="X140" s="12">
        <v>36</v>
      </c>
      <c r="Y140" s="12">
        <v>14</v>
      </c>
      <c r="Z140" s="12">
        <v>14</v>
      </c>
      <c r="AA140" s="12">
        <v>4</v>
      </c>
      <c r="AB140" s="12">
        <v>65</v>
      </c>
      <c r="AC140" s="9" t="s">
        <v>2608</v>
      </c>
      <c r="AD140" s="9" t="s">
        <v>1131</v>
      </c>
      <c r="AE140" s="9" t="s">
        <v>1132</v>
      </c>
      <c r="AF140" s="9" t="s">
        <v>1133</v>
      </c>
      <c r="AG140" s="9" t="s">
        <v>1134</v>
      </c>
      <c r="AH140" s="9" t="s">
        <v>86</v>
      </c>
      <c r="AI140" s="9" t="s">
        <v>1135</v>
      </c>
      <c r="AJ140" s="9" t="s">
        <v>1136</v>
      </c>
      <c r="AK140" s="9" t="s">
        <v>2609</v>
      </c>
      <c r="AL140" s="12">
        <v>2020</v>
      </c>
      <c r="AM140" s="12">
        <v>231</v>
      </c>
      <c r="AN140" s="12">
        <v>6</v>
      </c>
      <c r="AO140" s="9" t="s">
        <v>86</v>
      </c>
      <c r="AP140" s="9" t="s">
        <v>86</v>
      </c>
      <c r="AQ140" s="9" t="s">
        <v>86</v>
      </c>
      <c r="AR140" s="9" t="s">
        <v>86</v>
      </c>
      <c r="AS140" s="9" t="s">
        <v>86</v>
      </c>
      <c r="AT140" s="9" t="s">
        <v>86</v>
      </c>
      <c r="AU140" s="12">
        <v>275</v>
      </c>
      <c r="AV140" s="9" t="s">
        <v>86</v>
      </c>
      <c r="AW140" s="9" t="s">
        <v>86</v>
      </c>
      <c r="AX140" s="12">
        <v>6</v>
      </c>
      <c r="AY140" s="9" t="s">
        <v>1137</v>
      </c>
      <c r="AZ140" s="9" t="s">
        <v>92</v>
      </c>
      <c r="BA140" s="9" t="s">
        <v>1138</v>
      </c>
      <c r="BB140" s="9" t="s">
        <v>2610</v>
      </c>
      <c r="BC140" s="9" t="s">
        <v>86</v>
      </c>
      <c r="BD140" s="9" t="s">
        <v>86</v>
      </c>
      <c r="BE140" s="9" t="s">
        <v>86</v>
      </c>
      <c r="BF140" s="9" t="s">
        <v>86</v>
      </c>
      <c r="BG140" s="9" t="s">
        <v>95</v>
      </c>
      <c r="BH140" s="9" t="s">
        <v>2611</v>
      </c>
      <c r="BI140" s="9" t="str">
        <f>HYPERLINK("https%3A%2F%2Fwww.webofscience.com%2Fwos%2Fwoscc%2Ffull-record%2FWOS:000538018300001","View Full Record in Web of Science")</f>
        <v>View Full Record in Web of Science</v>
      </c>
    </row>
    <row r="141" spans="1:61" customFormat="1" ht="12.75" x14ac:dyDescent="0.2">
      <c r="A141" s="1">
        <v>137</v>
      </c>
      <c r="B141" s="1" t="s">
        <v>1068</v>
      </c>
      <c r="C141" s="1" t="s">
        <v>2612</v>
      </c>
      <c r="D141" s="2" t="s">
        <v>2613</v>
      </c>
      <c r="E141" s="2" t="s">
        <v>2614</v>
      </c>
      <c r="F141" s="3" t="str">
        <f>HYPERLINK("http://dx.doi.org/10.1080/01480545.2023.2168690","http://dx.doi.org/10.1080/01480545.2023.2168690")</f>
        <v>http://dx.doi.org/10.1080/01480545.2023.2168690</v>
      </c>
      <c r="G141" s="2" t="s">
        <v>642</v>
      </c>
      <c r="H141" s="2" t="s">
        <v>2615</v>
      </c>
      <c r="I141" s="2" t="s">
        <v>2616</v>
      </c>
      <c r="J141" s="2" t="s">
        <v>2617</v>
      </c>
      <c r="K141" s="2" t="s">
        <v>68</v>
      </c>
      <c r="L141" s="2" t="s">
        <v>2618</v>
      </c>
      <c r="M141" s="2" t="s">
        <v>2619</v>
      </c>
      <c r="N141" s="2" t="s">
        <v>2620</v>
      </c>
      <c r="O141" s="2" t="s">
        <v>2621</v>
      </c>
      <c r="P141" s="2" t="s">
        <v>2622</v>
      </c>
      <c r="Q141" s="2" t="s">
        <v>283</v>
      </c>
      <c r="R141" s="2" t="s">
        <v>2623</v>
      </c>
      <c r="S141" s="2" t="s">
        <v>285</v>
      </c>
      <c r="T141" s="2" t="s">
        <v>86</v>
      </c>
      <c r="U141" s="2" t="s">
        <v>86</v>
      </c>
      <c r="V141" s="2" t="s">
        <v>86</v>
      </c>
      <c r="W141" s="2" t="s">
        <v>80</v>
      </c>
      <c r="X141" s="4">
        <v>62</v>
      </c>
      <c r="Y141" s="4">
        <v>3</v>
      </c>
      <c r="Z141" s="4">
        <v>3</v>
      </c>
      <c r="AA141" s="4">
        <v>17</v>
      </c>
      <c r="AB141" s="4">
        <v>17</v>
      </c>
      <c r="AC141" s="2" t="s">
        <v>286</v>
      </c>
      <c r="AD141" s="2" t="s">
        <v>287</v>
      </c>
      <c r="AE141" s="2" t="s">
        <v>288</v>
      </c>
      <c r="AF141" s="2" t="s">
        <v>2624</v>
      </c>
      <c r="AG141" s="2" t="s">
        <v>2625</v>
      </c>
      <c r="AH141" s="2" t="s">
        <v>86</v>
      </c>
      <c r="AI141" s="2" t="s">
        <v>2626</v>
      </c>
      <c r="AJ141" s="2" t="s">
        <v>2627</v>
      </c>
      <c r="AK141" s="2" t="s">
        <v>2628</v>
      </c>
      <c r="AL141" s="4">
        <v>2023</v>
      </c>
      <c r="AM141" s="2" t="s">
        <v>86</v>
      </c>
      <c r="AN141" s="2" t="s">
        <v>86</v>
      </c>
      <c r="AO141" s="2" t="s">
        <v>86</v>
      </c>
      <c r="AP141" s="2" t="s">
        <v>86</v>
      </c>
      <c r="AQ141" s="2" t="s">
        <v>86</v>
      </c>
      <c r="AR141" s="2" t="s">
        <v>86</v>
      </c>
      <c r="AS141" s="2" t="s">
        <v>86</v>
      </c>
      <c r="AT141" s="2" t="s">
        <v>86</v>
      </c>
      <c r="AU141" s="2" t="s">
        <v>86</v>
      </c>
      <c r="AV141" s="2" t="s">
        <v>86</v>
      </c>
      <c r="AW141" s="2" t="s">
        <v>612</v>
      </c>
      <c r="AX141" s="4">
        <v>10</v>
      </c>
      <c r="AY141" s="2" t="s">
        <v>2629</v>
      </c>
      <c r="AZ141" s="2" t="s">
        <v>92</v>
      </c>
      <c r="BA141" s="2" t="s">
        <v>2630</v>
      </c>
      <c r="BB141" s="2" t="s">
        <v>2631</v>
      </c>
      <c r="BC141" s="4">
        <v>36656072</v>
      </c>
      <c r="BD141" s="2" t="s">
        <v>86</v>
      </c>
      <c r="BE141" s="2" t="s">
        <v>86</v>
      </c>
      <c r="BF141" s="2" t="s">
        <v>86</v>
      </c>
      <c r="BG141" s="2" t="s">
        <v>95</v>
      </c>
      <c r="BH141" s="2" t="s">
        <v>2632</v>
      </c>
      <c r="BI141" s="2" t="str">
        <f>HYPERLINK("https%3A%2F%2Fwww.webofscience.com%2Fwos%2Fwoscc%2Ffull-record%2FWOS:000913700600001","View Full Record in Web of Science")</f>
        <v>View Full Record in Web of Science</v>
      </c>
    </row>
    <row r="142" spans="1:61" customFormat="1" ht="12.75" x14ac:dyDescent="0.2">
      <c r="A142" s="1">
        <v>138</v>
      </c>
      <c r="B142" s="1" t="s">
        <v>1068</v>
      </c>
      <c r="C142" s="1" t="s">
        <v>2633</v>
      </c>
      <c r="D142" s="2" t="s">
        <v>2634</v>
      </c>
      <c r="E142" s="2" t="s">
        <v>2635</v>
      </c>
      <c r="F142" s="3" t="str">
        <f>HYPERLINK("http://dx.doi.org/10.12714/egejfas.39.4.02","http://dx.doi.org/10.12714/egejfas.39.4.02")</f>
        <v>http://dx.doi.org/10.12714/egejfas.39.4.02</v>
      </c>
      <c r="G142" s="2" t="s">
        <v>200</v>
      </c>
      <c r="H142" s="2" t="s">
        <v>2584</v>
      </c>
      <c r="I142" s="2" t="s">
        <v>2585</v>
      </c>
      <c r="J142" s="2" t="s">
        <v>304</v>
      </c>
      <c r="K142" s="2" t="s">
        <v>68</v>
      </c>
      <c r="L142" s="2" t="s">
        <v>2636</v>
      </c>
      <c r="M142" s="2" t="s">
        <v>2637</v>
      </c>
      <c r="N142" s="2" t="s">
        <v>2638</v>
      </c>
      <c r="O142" s="2" t="s">
        <v>2589</v>
      </c>
      <c r="P142" s="2" t="s">
        <v>2639</v>
      </c>
      <c r="Q142" s="2" t="s">
        <v>1686</v>
      </c>
      <c r="R142" s="2" t="s">
        <v>2640</v>
      </c>
      <c r="S142" s="2" t="s">
        <v>2641</v>
      </c>
      <c r="T142" s="2" t="s">
        <v>86</v>
      </c>
      <c r="U142" s="2" t="s">
        <v>86</v>
      </c>
      <c r="V142" s="2" t="s">
        <v>86</v>
      </c>
      <c r="W142" s="2" t="s">
        <v>80</v>
      </c>
      <c r="X142" s="4">
        <v>38</v>
      </c>
      <c r="Y142" s="4">
        <v>0</v>
      </c>
      <c r="Z142" s="4">
        <v>0</v>
      </c>
      <c r="AA142" s="4">
        <v>4</v>
      </c>
      <c r="AB142" s="4">
        <v>4</v>
      </c>
      <c r="AC142" s="2" t="s">
        <v>313</v>
      </c>
      <c r="AD142" s="2" t="s">
        <v>314</v>
      </c>
      <c r="AE142" s="2" t="s">
        <v>315</v>
      </c>
      <c r="AF142" s="2" t="s">
        <v>316</v>
      </c>
      <c r="AG142" s="2" t="s">
        <v>317</v>
      </c>
      <c r="AH142" s="2" t="s">
        <v>86</v>
      </c>
      <c r="AI142" s="2" t="s">
        <v>304</v>
      </c>
      <c r="AJ142" s="2" t="s">
        <v>318</v>
      </c>
      <c r="AK142" s="2" t="s">
        <v>86</v>
      </c>
      <c r="AL142" s="4">
        <v>2022</v>
      </c>
      <c r="AM142" s="4">
        <v>39</v>
      </c>
      <c r="AN142" s="4">
        <v>4</v>
      </c>
      <c r="AO142" s="2" t="s">
        <v>86</v>
      </c>
      <c r="AP142" s="2" t="s">
        <v>86</v>
      </c>
      <c r="AQ142" s="2" t="s">
        <v>86</v>
      </c>
      <c r="AR142" s="2" t="s">
        <v>86</v>
      </c>
      <c r="AS142" s="4">
        <v>275</v>
      </c>
      <c r="AT142" s="4">
        <v>283</v>
      </c>
      <c r="AU142" s="2" t="s">
        <v>86</v>
      </c>
      <c r="AV142" s="2" t="s">
        <v>86</v>
      </c>
      <c r="AW142" s="2" t="s">
        <v>86</v>
      </c>
      <c r="AX142" s="4">
        <v>9</v>
      </c>
      <c r="AY142" s="2" t="s">
        <v>319</v>
      </c>
      <c r="AZ142" s="2" t="s">
        <v>171</v>
      </c>
      <c r="BA142" s="2" t="s">
        <v>319</v>
      </c>
      <c r="BB142" s="2" t="s">
        <v>2642</v>
      </c>
      <c r="BC142" s="2" t="s">
        <v>86</v>
      </c>
      <c r="BD142" s="2" t="s">
        <v>321</v>
      </c>
      <c r="BE142" s="2" t="s">
        <v>86</v>
      </c>
      <c r="BF142" s="2" t="s">
        <v>86</v>
      </c>
      <c r="BG142" s="2" t="s">
        <v>95</v>
      </c>
      <c r="BH142" s="2" t="s">
        <v>2643</v>
      </c>
      <c r="BI142" s="2" t="str">
        <f>HYPERLINK("https%3A%2F%2Fwww.webofscience.com%2Fwos%2Fwoscc%2Ffull-record%2FWOS:000916454500002","View Full Record in Web of Science")</f>
        <v>View Full Record in Web of Science</v>
      </c>
    </row>
    <row r="143" spans="1:61" customFormat="1" ht="12.75" x14ac:dyDescent="0.2">
      <c r="A143" s="1">
        <v>139</v>
      </c>
      <c r="B143" s="1" t="s">
        <v>1068</v>
      </c>
      <c r="C143" s="1" t="s">
        <v>2644</v>
      </c>
      <c r="D143" s="2" t="s">
        <v>2645</v>
      </c>
      <c r="E143" s="2" t="s">
        <v>2646</v>
      </c>
      <c r="F143" s="3" t="str">
        <f>HYPERLINK("http://dx.doi.org/10.1016/j.marpolbul.2018.03.016","http://dx.doi.org/10.1016/j.marpolbul.2018.03.016")</f>
        <v>http://dx.doi.org/10.1016/j.marpolbul.2018.03.016</v>
      </c>
      <c r="G143" s="2" t="s">
        <v>200</v>
      </c>
      <c r="H143" s="2" t="s">
        <v>2647</v>
      </c>
      <c r="I143" s="2" t="s">
        <v>2648</v>
      </c>
      <c r="J143" s="2" t="s">
        <v>424</v>
      </c>
      <c r="K143" s="2" t="s">
        <v>68</v>
      </c>
      <c r="L143" s="2" t="s">
        <v>2649</v>
      </c>
      <c r="M143" s="2" t="s">
        <v>2650</v>
      </c>
      <c r="N143" s="2" t="s">
        <v>2651</v>
      </c>
      <c r="O143" s="2" t="s">
        <v>2652</v>
      </c>
      <c r="P143" s="2" t="s">
        <v>2653</v>
      </c>
      <c r="Q143" s="2" t="s">
        <v>1060</v>
      </c>
      <c r="R143" s="2" t="s">
        <v>2654</v>
      </c>
      <c r="S143" s="2" t="s">
        <v>2655</v>
      </c>
      <c r="T143" s="2" t="s">
        <v>2656</v>
      </c>
      <c r="U143" s="2" t="s">
        <v>434</v>
      </c>
      <c r="V143" s="2" t="s">
        <v>2657</v>
      </c>
      <c r="W143" s="2" t="s">
        <v>80</v>
      </c>
      <c r="X143" s="4">
        <v>30</v>
      </c>
      <c r="Y143" s="4">
        <v>126</v>
      </c>
      <c r="Z143" s="4">
        <v>131</v>
      </c>
      <c r="AA143" s="4">
        <v>7</v>
      </c>
      <c r="AB143" s="4">
        <v>155</v>
      </c>
      <c r="AC143" s="2" t="s">
        <v>237</v>
      </c>
      <c r="AD143" s="2" t="s">
        <v>115</v>
      </c>
      <c r="AE143" s="2" t="s">
        <v>238</v>
      </c>
      <c r="AF143" s="2" t="s">
        <v>436</v>
      </c>
      <c r="AG143" s="2" t="s">
        <v>437</v>
      </c>
      <c r="AH143" s="2" t="s">
        <v>86</v>
      </c>
      <c r="AI143" s="2" t="s">
        <v>438</v>
      </c>
      <c r="AJ143" s="2" t="s">
        <v>439</v>
      </c>
      <c r="AK143" s="2" t="s">
        <v>1220</v>
      </c>
      <c r="AL143" s="4">
        <v>2018</v>
      </c>
      <c r="AM143" s="4">
        <v>130</v>
      </c>
      <c r="AN143" s="2" t="s">
        <v>86</v>
      </c>
      <c r="AO143" s="2" t="s">
        <v>86</v>
      </c>
      <c r="AP143" s="2" t="s">
        <v>86</v>
      </c>
      <c r="AQ143" s="2" t="s">
        <v>86</v>
      </c>
      <c r="AR143" s="2" t="s">
        <v>86</v>
      </c>
      <c r="AS143" s="4">
        <v>123</v>
      </c>
      <c r="AT143" s="4">
        <v>131</v>
      </c>
      <c r="AU143" s="2" t="s">
        <v>86</v>
      </c>
      <c r="AV143" s="2" t="s">
        <v>86</v>
      </c>
      <c r="AW143" s="2" t="s">
        <v>86</v>
      </c>
      <c r="AX143" s="4">
        <v>9</v>
      </c>
      <c r="AY143" s="2" t="s">
        <v>441</v>
      </c>
      <c r="AZ143" s="2" t="s">
        <v>92</v>
      </c>
      <c r="BA143" s="2" t="s">
        <v>442</v>
      </c>
      <c r="BB143" s="2" t="s">
        <v>2658</v>
      </c>
      <c r="BC143" s="4">
        <v>29866538</v>
      </c>
      <c r="BD143" s="2" t="s">
        <v>497</v>
      </c>
      <c r="BE143" s="2" t="s">
        <v>86</v>
      </c>
      <c r="BF143" s="2" t="s">
        <v>86</v>
      </c>
      <c r="BG143" s="2" t="s">
        <v>95</v>
      </c>
      <c r="BH143" s="2" t="s">
        <v>2659</v>
      </c>
      <c r="BI143" s="2" t="str">
        <f>HYPERLINK("https%3A%2F%2Fwww.webofscience.com%2Fwos%2Fwoscc%2Ffull-record%2FWOS:000436221000015","View Full Record in Web of Science")</f>
        <v>View Full Record in Web of Science</v>
      </c>
    </row>
    <row r="144" spans="1:61" ht="12.75" x14ac:dyDescent="0.2">
      <c r="A144" s="8">
        <v>140</v>
      </c>
      <c r="B144" s="8" t="s">
        <v>1049</v>
      </c>
      <c r="C144" s="8" t="s">
        <v>2660</v>
      </c>
      <c r="D144" s="9" t="s">
        <v>2661</v>
      </c>
      <c r="E144" s="9" t="s">
        <v>2662</v>
      </c>
      <c r="F144" s="11" t="str">
        <f>HYPERLINK("http://dx.doi.org/10.1016/j.jclepro.2021.127320","http://dx.doi.org/10.1016/j.jclepro.2021.127320")</f>
        <v>http://dx.doi.org/10.1016/j.jclepro.2021.127320</v>
      </c>
      <c r="G144" s="9" t="s">
        <v>200</v>
      </c>
      <c r="H144" s="9" t="s">
        <v>2663</v>
      </c>
      <c r="I144" s="9" t="s">
        <v>2664</v>
      </c>
      <c r="J144" s="9" t="s">
        <v>376</v>
      </c>
      <c r="K144" s="9" t="s">
        <v>68</v>
      </c>
      <c r="L144" s="9" t="s">
        <v>2665</v>
      </c>
      <c r="M144" s="9" t="s">
        <v>2666</v>
      </c>
      <c r="N144" s="9" t="s">
        <v>2667</v>
      </c>
      <c r="O144" s="9" t="s">
        <v>2668</v>
      </c>
      <c r="P144" s="9" t="s">
        <v>734</v>
      </c>
      <c r="Q144" s="9" t="s">
        <v>735</v>
      </c>
      <c r="R144" s="9" t="s">
        <v>86</v>
      </c>
      <c r="S144" s="9" t="s">
        <v>86</v>
      </c>
      <c r="T144" s="9" t="s">
        <v>737</v>
      </c>
      <c r="U144" s="9" t="s">
        <v>434</v>
      </c>
      <c r="V144" s="9" t="s">
        <v>766</v>
      </c>
      <c r="W144" s="9" t="s">
        <v>80</v>
      </c>
      <c r="X144" s="12">
        <v>60</v>
      </c>
      <c r="Y144" s="12">
        <v>9</v>
      </c>
      <c r="Z144" s="12">
        <v>9</v>
      </c>
      <c r="AA144" s="12">
        <v>5</v>
      </c>
      <c r="AB144" s="12">
        <v>33</v>
      </c>
      <c r="AC144" s="9" t="s">
        <v>114</v>
      </c>
      <c r="AD144" s="9" t="s">
        <v>115</v>
      </c>
      <c r="AE144" s="9" t="s">
        <v>116</v>
      </c>
      <c r="AF144" s="9" t="s">
        <v>386</v>
      </c>
      <c r="AG144" s="9" t="s">
        <v>387</v>
      </c>
      <c r="AH144" s="9" t="s">
        <v>86</v>
      </c>
      <c r="AI144" s="9" t="s">
        <v>388</v>
      </c>
      <c r="AJ144" s="9" t="s">
        <v>389</v>
      </c>
      <c r="AK144" s="9" t="s">
        <v>2669</v>
      </c>
      <c r="AL144" s="12">
        <v>2021</v>
      </c>
      <c r="AM144" s="12">
        <v>307</v>
      </c>
      <c r="AN144" s="9" t="s">
        <v>86</v>
      </c>
      <c r="AO144" s="9" t="s">
        <v>86</v>
      </c>
      <c r="AP144" s="9" t="s">
        <v>86</v>
      </c>
      <c r="AQ144" s="9" t="s">
        <v>86</v>
      </c>
      <c r="AR144" s="9" t="s">
        <v>86</v>
      </c>
      <c r="AS144" s="9" t="s">
        <v>86</v>
      </c>
      <c r="AT144" s="9" t="s">
        <v>86</v>
      </c>
      <c r="AU144" s="12">
        <v>127320</v>
      </c>
      <c r="AV144" s="9" t="s">
        <v>86</v>
      </c>
      <c r="AW144" s="9" t="s">
        <v>2290</v>
      </c>
      <c r="AX144" s="12">
        <v>12</v>
      </c>
      <c r="AY144" s="9" t="s">
        <v>392</v>
      </c>
      <c r="AZ144" s="9" t="s">
        <v>92</v>
      </c>
      <c r="BA144" s="9" t="s">
        <v>393</v>
      </c>
      <c r="BB144" s="9" t="s">
        <v>2670</v>
      </c>
      <c r="BC144" s="9" t="s">
        <v>86</v>
      </c>
      <c r="BD144" s="9" t="s">
        <v>86</v>
      </c>
      <c r="BE144" s="9" t="s">
        <v>86</v>
      </c>
      <c r="BF144" s="9" t="s">
        <v>86</v>
      </c>
      <c r="BG144" s="9" t="s">
        <v>95</v>
      </c>
      <c r="BH144" s="9" t="s">
        <v>2671</v>
      </c>
      <c r="BI144" s="9" t="str">
        <f>HYPERLINK("https%3A%2F%2Fwww.webofscience.com%2Fwos%2Fwoscc%2Ffull-record%2FWOS:000660248100005","View Full Record in Web of Science")</f>
        <v>View Full Record in Web of Science</v>
      </c>
    </row>
    <row r="145" spans="1:61" customFormat="1" ht="12.75" x14ac:dyDescent="0.2">
      <c r="A145" s="1">
        <v>141</v>
      </c>
      <c r="B145" s="1" t="s">
        <v>1068</v>
      </c>
      <c r="C145" s="1" t="s">
        <v>2672</v>
      </c>
      <c r="D145" s="2" t="s">
        <v>2673</v>
      </c>
      <c r="E145" s="2" t="s">
        <v>2674</v>
      </c>
      <c r="F145" s="3" t="str">
        <f>HYPERLINK("http://dx.doi.org/10.1016/j.envres.2023.116188","http://dx.doi.org/10.1016/j.envres.2023.116188")</f>
        <v>http://dx.doi.org/10.1016/j.envres.2023.116188</v>
      </c>
      <c r="G145" s="2" t="s">
        <v>200</v>
      </c>
      <c r="H145" s="2" t="s">
        <v>2675</v>
      </c>
      <c r="I145" s="2" t="s">
        <v>2676</v>
      </c>
      <c r="J145" s="2" t="s">
        <v>1540</v>
      </c>
      <c r="K145" s="2" t="s">
        <v>68</v>
      </c>
      <c r="L145" s="2" t="s">
        <v>2677</v>
      </c>
      <c r="M145" s="2" t="s">
        <v>2678</v>
      </c>
      <c r="N145" s="2" t="s">
        <v>2679</v>
      </c>
      <c r="O145" s="2" t="s">
        <v>1211</v>
      </c>
      <c r="P145" s="2" t="s">
        <v>2680</v>
      </c>
      <c r="Q145" s="2" t="s">
        <v>1634</v>
      </c>
      <c r="R145" s="2" t="s">
        <v>86</v>
      </c>
      <c r="S145" s="2" t="s">
        <v>1963</v>
      </c>
      <c r="T145" s="2" t="s">
        <v>2681</v>
      </c>
      <c r="U145" s="2" t="s">
        <v>2682</v>
      </c>
      <c r="V145" s="2" t="s">
        <v>2683</v>
      </c>
      <c r="W145" s="2" t="s">
        <v>80</v>
      </c>
      <c r="X145" s="4">
        <v>80</v>
      </c>
      <c r="Y145" s="4">
        <v>1</v>
      </c>
      <c r="Z145" s="4">
        <v>1</v>
      </c>
      <c r="AA145" s="4">
        <v>9</v>
      </c>
      <c r="AB145" s="4">
        <v>9</v>
      </c>
      <c r="AC145" s="2" t="s">
        <v>1550</v>
      </c>
      <c r="AD145" s="2" t="s">
        <v>1551</v>
      </c>
      <c r="AE145" s="2" t="s">
        <v>1552</v>
      </c>
      <c r="AF145" s="2" t="s">
        <v>1553</v>
      </c>
      <c r="AG145" s="2" t="s">
        <v>1554</v>
      </c>
      <c r="AH145" s="2" t="s">
        <v>86</v>
      </c>
      <c r="AI145" s="2" t="s">
        <v>1555</v>
      </c>
      <c r="AJ145" s="2" t="s">
        <v>1556</v>
      </c>
      <c r="AK145" s="2" t="s">
        <v>2684</v>
      </c>
      <c r="AL145" s="4">
        <v>2023</v>
      </c>
      <c r="AM145" s="4">
        <v>231</v>
      </c>
      <c r="AN145" s="2" t="s">
        <v>86</v>
      </c>
      <c r="AO145" s="4">
        <v>2</v>
      </c>
      <c r="AP145" s="2" t="s">
        <v>86</v>
      </c>
      <c r="AQ145" s="2" t="s">
        <v>86</v>
      </c>
      <c r="AR145" s="2" t="s">
        <v>86</v>
      </c>
      <c r="AS145" s="2" t="s">
        <v>86</v>
      </c>
      <c r="AT145" s="2" t="s">
        <v>86</v>
      </c>
      <c r="AU145" s="4">
        <v>116188</v>
      </c>
      <c r="AV145" s="2" t="s">
        <v>86</v>
      </c>
      <c r="AW145" s="2" t="s">
        <v>593</v>
      </c>
      <c r="AX145" s="4">
        <v>10</v>
      </c>
      <c r="AY145" s="2" t="s">
        <v>720</v>
      </c>
      <c r="AZ145" s="2" t="s">
        <v>92</v>
      </c>
      <c r="BA145" s="2" t="s">
        <v>721</v>
      </c>
      <c r="BB145" s="2" t="s">
        <v>2685</v>
      </c>
      <c r="BC145" s="4">
        <v>37230218</v>
      </c>
      <c r="BD145" s="2" t="s">
        <v>86</v>
      </c>
      <c r="BE145" s="2" t="s">
        <v>86</v>
      </c>
      <c r="BF145" s="2" t="s">
        <v>86</v>
      </c>
      <c r="BG145" s="2" t="s">
        <v>95</v>
      </c>
      <c r="BH145" s="2" t="s">
        <v>2686</v>
      </c>
      <c r="BI145" s="2" t="str">
        <f>HYPERLINK("https%3A%2F%2Fwww.webofscience.com%2Fwos%2Fwoscc%2Ffull-record%2FWOS:001013309700001","View Full Record in Web of Science")</f>
        <v>View Full Record in Web of Science</v>
      </c>
    </row>
    <row r="146" spans="1:61" ht="12.75" x14ac:dyDescent="0.2">
      <c r="A146" s="8">
        <v>142</v>
      </c>
      <c r="B146" s="8" t="s">
        <v>1049</v>
      </c>
      <c r="C146" s="8" t="s">
        <v>2687</v>
      </c>
      <c r="D146" s="9" t="s">
        <v>2688</v>
      </c>
      <c r="E146" s="9" t="s">
        <v>2689</v>
      </c>
      <c r="F146" s="11" t="str">
        <f>HYPERLINK("http://dx.doi.org/10.1016/j.envpol.2020.115801","http://dx.doi.org/10.1016/j.envpol.2020.115801")</f>
        <v>http://dx.doi.org/10.1016/j.envpol.2020.115801</v>
      </c>
      <c r="G146" s="9" t="s">
        <v>200</v>
      </c>
      <c r="H146" s="9" t="s">
        <v>2690</v>
      </c>
      <c r="I146" s="9" t="s">
        <v>2691</v>
      </c>
      <c r="J146" s="9" t="s">
        <v>102</v>
      </c>
      <c r="K146" s="9" t="s">
        <v>68</v>
      </c>
      <c r="L146" s="9" t="s">
        <v>2692</v>
      </c>
      <c r="M146" s="9" t="s">
        <v>2693</v>
      </c>
      <c r="N146" s="9" t="s">
        <v>2694</v>
      </c>
      <c r="O146" s="9" t="s">
        <v>2695</v>
      </c>
      <c r="P146" s="9" t="s">
        <v>2696</v>
      </c>
      <c r="Q146" s="9" t="s">
        <v>2697</v>
      </c>
      <c r="R146" s="9" t="s">
        <v>2698</v>
      </c>
      <c r="S146" s="9" t="s">
        <v>2699</v>
      </c>
      <c r="T146" s="9" t="s">
        <v>2700</v>
      </c>
      <c r="U146" s="9" t="s">
        <v>2548</v>
      </c>
      <c r="V146" s="9" t="s">
        <v>2701</v>
      </c>
      <c r="W146" s="9" t="s">
        <v>80</v>
      </c>
      <c r="X146" s="12">
        <v>111</v>
      </c>
      <c r="Y146" s="12">
        <v>32</v>
      </c>
      <c r="Z146" s="12">
        <v>33</v>
      </c>
      <c r="AA146" s="12">
        <v>12</v>
      </c>
      <c r="AB146" s="12">
        <v>99</v>
      </c>
      <c r="AC146" s="9" t="s">
        <v>114</v>
      </c>
      <c r="AD146" s="9" t="s">
        <v>115</v>
      </c>
      <c r="AE146" s="9" t="s">
        <v>116</v>
      </c>
      <c r="AF146" s="9" t="s">
        <v>117</v>
      </c>
      <c r="AG146" s="9" t="s">
        <v>118</v>
      </c>
      <c r="AH146" s="9" t="s">
        <v>86</v>
      </c>
      <c r="AI146" s="9" t="s">
        <v>119</v>
      </c>
      <c r="AJ146" s="9" t="s">
        <v>120</v>
      </c>
      <c r="AK146" s="9" t="s">
        <v>1910</v>
      </c>
      <c r="AL146" s="12">
        <v>2021</v>
      </c>
      <c r="AM146" s="12">
        <v>268</v>
      </c>
      <c r="AN146" s="9" t="s">
        <v>86</v>
      </c>
      <c r="AO146" s="9" t="s">
        <v>188</v>
      </c>
      <c r="AP146" s="9" t="s">
        <v>86</v>
      </c>
      <c r="AQ146" s="9" t="s">
        <v>86</v>
      </c>
      <c r="AR146" s="9" t="s">
        <v>86</v>
      </c>
      <c r="AS146" s="9" t="s">
        <v>86</v>
      </c>
      <c r="AT146" s="9" t="s">
        <v>86</v>
      </c>
      <c r="AU146" s="12">
        <v>115801</v>
      </c>
      <c r="AV146" s="9" t="s">
        <v>86</v>
      </c>
      <c r="AW146" s="9" t="s">
        <v>86</v>
      </c>
      <c r="AX146" s="12">
        <v>12</v>
      </c>
      <c r="AY146" s="9" t="s">
        <v>91</v>
      </c>
      <c r="AZ146" s="9" t="s">
        <v>92</v>
      </c>
      <c r="BA146" s="9" t="s">
        <v>93</v>
      </c>
      <c r="BB146" s="9" t="s">
        <v>2702</v>
      </c>
      <c r="BC146" s="12">
        <v>33069934</v>
      </c>
      <c r="BD146" s="9" t="s">
        <v>86</v>
      </c>
      <c r="BE146" s="9" t="s">
        <v>86</v>
      </c>
      <c r="BF146" s="9" t="s">
        <v>86</v>
      </c>
      <c r="BG146" s="9" t="s">
        <v>95</v>
      </c>
      <c r="BH146" s="9" t="s">
        <v>2703</v>
      </c>
      <c r="BI146" s="9" t="str">
        <f>HYPERLINK("https%3A%2F%2Fwww.webofscience.com%2Fwos%2Fwoscc%2Ffull-record%2FWOS:000600560400061","View Full Record in Web of Science")</f>
        <v>View Full Record in Web of Science</v>
      </c>
    </row>
    <row r="147" spans="1:61" customFormat="1" ht="12.75" x14ac:dyDescent="0.2">
      <c r="A147" s="1">
        <v>143</v>
      </c>
      <c r="B147" s="1" t="s">
        <v>1068</v>
      </c>
      <c r="C147" s="1" t="s">
        <v>2704</v>
      </c>
      <c r="D147" s="2" t="s">
        <v>2705</v>
      </c>
      <c r="E147" s="2" t="s">
        <v>2706</v>
      </c>
      <c r="F147" s="3" t="str">
        <f>HYPERLINK("http://dx.doi.org/10.1016/j.envpol.2021.117862","http://dx.doi.org/10.1016/j.envpol.2021.117862")</f>
        <v>http://dx.doi.org/10.1016/j.envpol.2021.117862</v>
      </c>
      <c r="G147" s="2" t="s">
        <v>200</v>
      </c>
      <c r="H147" s="2" t="s">
        <v>2707</v>
      </c>
      <c r="I147" s="2" t="s">
        <v>2708</v>
      </c>
      <c r="J147" s="2" t="s">
        <v>102</v>
      </c>
      <c r="K147" s="2" t="s">
        <v>68</v>
      </c>
      <c r="L147" s="2" t="s">
        <v>2709</v>
      </c>
      <c r="M147" s="2" t="s">
        <v>2710</v>
      </c>
      <c r="N147" s="2" t="s">
        <v>2711</v>
      </c>
      <c r="O147" s="2" t="s">
        <v>2712</v>
      </c>
      <c r="P147" s="2" t="s">
        <v>2713</v>
      </c>
      <c r="Q147" s="2" t="s">
        <v>2714</v>
      </c>
      <c r="R147" s="2" t="s">
        <v>2715</v>
      </c>
      <c r="S147" s="2" t="s">
        <v>2716</v>
      </c>
      <c r="T147" s="2" t="s">
        <v>2717</v>
      </c>
      <c r="U147" s="2" t="s">
        <v>235</v>
      </c>
      <c r="V147" s="2" t="s">
        <v>2718</v>
      </c>
      <c r="W147" s="2" t="s">
        <v>80</v>
      </c>
      <c r="X147" s="4">
        <v>63</v>
      </c>
      <c r="Y147" s="4">
        <v>34</v>
      </c>
      <c r="Z147" s="4">
        <v>34</v>
      </c>
      <c r="AA147" s="4">
        <v>7</v>
      </c>
      <c r="AB147" s="4">
        <v>73</v>
      </c>
      <c r="AC147" s="2" t="s">
        <v>114</v>
      </c>
      <c r="AD147" s="2" t="s">
        <v>115</v>
      </c>
      <c r="AE147" s="2" t="s">
        <v>116</v>
      </c>
      <c r="AF147" s="2" t="s">
        <v>117</v>
      </c>
      <c r="AG147" s="2" t="s">
        <v>118</v>
      </c>
      <c r="AH147" s="2" t="s">
        <v>86</v>
      </c>
      <c r="AI147" s="2" t="s">
        <v>119</v>
      </c>
      <c r="AJ147" s="2" t="s">
        <v>120</v>
      </c>
      <c r="AK147" s="2" t="s">
        <v>1574</v>
      </c>
      <c r="AL147" s="4">
        <v>2021</v>
      </c>
      <c r="AM147" s="4">
        <v>289</v>
      </c>
      <c r="AN147" s="2" t="s">
        <v>86</v>
      </c>
      <c r="AO147" s="2" t="s">
        <v>86</v>
      </c>
      <c r="AP147" s="2" t="s">
        <v>86</v>
      </c>
      <c r="AQ147" s="2" t="s">
        <v>86</v>
      </c>
      <c r="AR147" s="2" t="s">
        <v>86</v>
      </c>
      <c r="AS147" s="2" t="s">
        <v>86</v>
      </c>
      <c r="AT147" s="2" t="s">
        <v>86</v>
      </c>
      <c r="AU147" s="4">
        <v>117862</v>
      </c>
      <c r="AV147" s="2" t="s">
        <v>86</v>
      </c>
      <c r="AW147" s="2" t="s">
        <v>2719</v>
      </c>
      <c r="AX147" s="4">
        <v>9</v>
      </c>
      <c r="AY147" s="2" t="s">
        <v>91</v>
      </c>
      <c r="AZ147" s="2" t="s">
        <v>92</v>
      </c>
      <c r="BA147" s="2" t="s">
        <v>93</v>
      </c>
      <c r="BB147" s="2" t="s">
        <v>2720</v>
      </c>
      <c r="BC147" s="4">
        <v>34358873</v>
      </c>
      <c r="BD147" s="2" t="s">
        <v>86</v>
      </c>
      <c r="BE147" s="2" t="s">
        <v>86</v>
      </c>
      <c r="BF147" s="2" t="s">
        <v>86</v>
      </c>
      <c r="BG147" s="2" t="s">
        <v>95</v>
      </c>
      <c r="BH147" s="2" t="s">
        <v>2721</v>
      </c>
      <c r="BI147" s="2" t="str">
        <f>HYPERLINK("https%3A%2F%2Fwww.webofscience.com%2Fwos%2Fwoscc%2Ffull-record%2FWOS:000697063100007","View Full Record in Web of Science")</f>
        <v>View Full Record in Web of Science</v>
      </c>
    </row>
    <row r="148" spans="1:61" customFormat="1" ht="12.75" x14ac:dyDescent="0.2">
      <c r="A148" s="1">
        <v>144</v>
      </c>
      <c r="B148" s="1" t="s">
        <v>1068</v>
      </c>
      <c r="C148" s="1" t="s">
        <v>2722</v>
      </c>
      <c r="D148" s="2" t="s">
        <v>2723</v>
      </c>
      <c r="E148" s="2" t="s">
        <v>2724</v>
      </c>
      <c r="F148" s="3" t="str">
        <f>HYPERLINK("http://dx.doi.org/10.1016/j.chemosphere.2023.138664","http://dx.doi.org/10.1016/j.chemosphere.2023.138664")</f>
        <v>http://dx.doi.org/10.1016/j.chemosphere.2023.138664</v>
      </c>
      <c r="G148" s="2" t="s">
        <v>200</v>
      </c>
      <c r="H148" s="2" t="s">
        <v>2725</v>
      </c>
      <c r="I148" s="2" t="s">
        <v>2726</v>
      </c>
      <c r="J148" s="2" t="s">
        <v>227</v>
      </c>
      <c r="K148" s="2" t="s">
        <v>68</v>
      </c>
      <c r="L148" s="2" t="s">
        <v>2727</v>
      </c>
      <c r="M148" s="2" t="s">
        <v>2728</v>
      </c>
      <c r="N148" s="2" t="s">
        <v>2729</v>
      </c>
      <c r="O148" s="2" t="s">
        <v>2730</v>
      </c>
      <c r="P148" s="2" t="s">
        <v>2731</v>
      </c>
      <c r="Q148" s="2" t="s">
        <v>2732</v>
      </c>
      <c r="R148" s="2" t="s">
        <v>2733</v>
      </c>
      <c r="S148" s="2" t="s">
        <v>2734</v>
      </c>
      <c r="T148" s="2" t="s">
        <v>2735</v>
      </c>
      <c r="U148" s="2" t="s">
        <v>2736</v>
      </c>
      <c r="V148" s="2" t="s">
        <v>2737</v>
      </c>
      <c r="W148" s="2" t="s">
        <v>80</v>
      </c>
      <c r="X148" s="4">
        <v>75</v>
      </c>
      <c r="Y148" s="4">
        <v>1</v>
      </c>
      <c r="Z148" s="4">
        <v>1</v>
      </c>
      <c r="AA148" s="4">
        <v>23</v>
      </c>
      <c r="AB148" s="4">
        <v>23</v>
      </c>
      <c r="AC148" s="2" t="s">
        <v>237</v>
      </c>
      <c r="AD148" s="2" t="s">
        <v>115</v>
      </c>
      <c r="AE148" s="2" t="s">
        <v>238</v>
      </c>
      <c r="AF148" s="2" t="s">
        <v>239</v>
      </c>
      <c r="AG148" s="2" t="s">
        <v>240</v>
      </c>
      <c r="AH148" s="2" t="s">
        <v>86</v>
      </c>
      <c r="AI148" s="2" t="s">
        <v>227</v>
      </c>
      <c r="AJ148" s="2" t="s">
        <v>241</v>
      </c>
      <c r="AK148" s="2" t="s">
        <v>1458</v>
      </c>
      <c r="AL148" s="4">
        <v>2023</v>
      </c>
      <c r="AM148" s="4">
        <v>329</v>
      </c>
      <c r="AN148" s="2" t="s">
        <v>86</v>
      </c>
      <c r="AO148" s="2" t="s">
        <v>86</v>
      </c>
      <c r="AP148" s="2" t="s">
        <v>86</v>
      </c>
      <c r="AQ148" s="2" t="s">
        <v>86</v>
      </c>
      <c r="AR148" s="2" t="s">
        <v>86</v>
      </c>
      <c r="AS148" s="2" t="s">
        <v>86</v>
      </c>
      <c r="AT148" s="2" t="s">
        <v>86</v>
      </c>
      <c r="AU148" s="4">
        <v>138664</v>
      </c>
      <c r="AV148" s="2" t="s">
        <v>86</v>
      </c>
      <c r="AW148" s="2" t="s">
        <v>1046</v>
      </c>
      <c r="AX148" s="4">
        <v>10</v>
      </c>
      <c r="AY148" s="2" t="s">
        <v>91</v>
      </c>
      <c r="AZ148" s="2" t="s">
        <v>92</v>
      </c>
      <c r="BA148" s="2" t="s">
        <v>93</v>
      </c>
      <c r="BB148" s="2" t="s">
        <v>2738</v>
      </c>
      <c r="BC148" s="4">
        <v>37044146</v>
      </c>
      <c r="BD148" s="2" t="s">
        <v>86</v>
      </c>
      <c r="BE148" s="2" t="s">
        <v>86</v>
      </c>
      <c r="BF148" s="2" t="s">
        <v>86</v>
      </c>
      <c r="BG148" s="2" t="s">
        <v>95</v>
      </c>
      <c r="BH148" s="2" t="s">
        <v>2739</v>
      </c>
      <c r="BI148" s="2" t="str">
        <f>HYPERLINK("https%3A%2F%2Fwww.webofscience.com%2Fwos%2Fwoscc%2Ffull-record%2FWOS:000987017400001","View Full Record in Web of Science")</f>
        <v>View Full Record in Web of Science</v>
      </c>
    </row>
    <row r="149" spans="1:61" customFormat="1" ht="12.75" x14ac:dyDescent="0.2">
      <c r="A149" s="1">
        <v>145</v>
      </c>
      <c r="B149" s="1" t="s">
        <v>1068</v>
      </c>
      <c r="C149" s="1" t="s">
        <v>2740</v>
      </c>
      <c r="D149" s="2" t="s">
        <v>2741</v>
      </c>
      <c r="E149" s="2" t="s">
        <v>2742</v>
      </c>
      <c r="F149" s="3" t="str">
        <f>HYPERLINK("http://dx.doi.org/10.1016/j.jclepro.2021.129982","http://dx.doi.org/10.1016/j.jclepro.2021.129982")</f>
        <v>http://dx.doi.org/10.1016/j.jclepro.2021.129982</v>
      </c>
      <c r="G149" s="2" t="s">
        <v>2743</v>
      </c>
      <c r="H149" s="2" t="s">
        <v>2744</v>
      </c>
      <c r="I149" s="2" t="s">
        <v>2745</v>
      </c>
      <c r="J149" s="2" t="s">
        <v>376</v>
      </c>
      <c r="K149" s="2" t="s">
        <v>68</v>
      </c>
      <c r="L149" s="2" t="s">
        <v>86</v>
      </c>
      <c r="M149" s="2" t="s">
        <v>86</v>
      </c>
      <c r="N149" s="2" t="s">
        <v>2746</v>
      </c>
      <c r="O149" s="2" t="s">
        <v>2668</v>
      </c>
      <c r="P149" s="2" t="s">
        <v>2747</v>
      </c>
      <c r="Q149" s="2" t="s">
        <v>735</v>
      </c>
      <c r="R149" s="2" t="s">
        <v>86</v>
      </c>
      <c r="S149" s="2" t="s">
        <v>86</v>
      </c>
      <c r="T149" s="2" t="s">
        <v>86</v>
      </c>
      <c r="U149" s="2" t="s">
        <v>86</v>
      </c>
      <c r="V149" s="2" t="s">
        <v>86</v>
      </c>
      <c r="W149" s="2" t="s">
        <v>80</v>
      </c>
      <c r="X149" s="4">
        <v>1</v>
      </c>
      <c r="Y149" s="4">
        <v>0</v>
      </c>
      <c r="Z149" s="4">
        <v>0</v>
      </c>
      <c r="AA149" s="4">
        <v>2</v>
      </c>
      <c r="AB149" s="4">
        <v>12</v>
      </c>
      <c r="AC149" s="2" t="s">
        <v>114</v>
      </c>
      <c r="AD149" s="2" t="s">
        <v>115</v>
      </c>
      <c r="AE149" s="2" t="s">
        <v>116</v>
      </c>
      <c r="AF149" s="2" t="s">
        <v>386</v>
      </c>
      <c r="AG149" s="2" t="s">
        <v>387</v>
      </c>
      <c r="AH149" s="2" t="s">
        <v>86</v>
      </c>
      <c r="AI149" s="2" t="s">
        <v>388</v>
      </c>
      <c r="AJ149" s="2" t="s">
        <v>389</v>
      </c>
      <c r="AK149" s="2" t="s">
        <v>2748</v>
      </c>
      <c r="AL149" s="4">
        <v>2022</v>
      </c>
      <c r="AM149" s="4">
        <v>331</v>
      </c>
      <c r="AN149" s="2" t="s">
        <v>86</v>
      </c>
      <c r="AO149" s="2" t="s">
        <v>86</v>
      </c>
      <c r="AP149" s="2" t="s">
        <v>86</v>
      </c>
      <c r="AQ149" s="2" t="s">
        <v>86</v>
      </c>
      <c r="AR149" s="2" t="s">
        <v>86</v>
      </c>
      <c r="AS149" s="2" t="s">
        <v>86</v>
      </c>
      <c r="AT149" s="2" t="s">
        <v>86</v>
      </c>
      <c r="AU149" s="4">
        <v>129982</v>
      </c>
      <c r="AV149" s="2" t="s">
        <v>86</v>
      </c>
      <c r="AW149" s="2" t="s">
        <v>86</v>
      </c>
      <c r="AX149" s="4">
        <v>3</v>
      </c>
      <c r="AY149" s="2" t="s">
        <v>392</v>
      </c>
      <c r="AZ149" s="2" t="s">
        <v>92</v>
      </c>
      <c r="BA149" s="2" t="s">
        <v>393</v>
      </c>
      <c r="BB149" s="2" t="s">
        <v>2749</v>
      </c>
      <c r="BC149" s="2" t="s">
        <v>86</v>
      </c>
      <c r="BD149" s="2" t="s">
        <v>1491</v>
      </c>
      <c r="BE149" s="2" t="s">
        <v>86</v>
      </c>
      <c r="BF149" s="2" t="s">
        <v>86</v>
      </c>
      <c r="BG149" s="2" t="s">
        <v>95</v>
      </c>
      <c r="BH149" s="2" t="s">
        <v>2750</v>
      </c>
      <c r="BI149" s="2" t="str">
        <f>HYPERLINK("https%3A%2F%2Fwww.webofscience.com%2Fwos%2Fwoscc%2Ffull-record%2FWOS:000787069800003","View Full Record in Web of Science")</f>
        <v>View Full Record in Web of Science</v>
      </c>
    </row>
    <row r="150" spans="1:61" customFormat="1" ht="12.75" x14ac:dyDescent="0.2">
      <c r="A150" s="1">
        <v>146</v>
      </c>
      <c r="B150" s="1" t="s">
        <v>1068</v>
      </c>
      <c r="C150" s="1" t="s">
        <v>2751</v>
      </c>
      <c r="D150" s="2" t="s">
        <v>2752</v>
      </c>
      <c r="E150" s="2" t="s">
        <v>2753</v>
      </c>
      <c r="F150" s="3" t="str">
        <f>HYPERLINK("http://dx.doi.org/10.15666/aeer/1704_73017310","http://dx.doi.org/10.15666/aeer/1704_73017310")</f>
        <v>http://dx.doi.org/10.15666/aeer/1704_73017310</v>
      </c>
      <c r="G150" s="2" t="s">
        <v>200</v>
      </c>
      <c r="H150" s="2" t="s">
        <v>2754</v>
      </c>
      <c r="I150" s="2" t="s">
        <v>2755</v>
      </c>
      <c r="J150" s="2" t="s">
        <v>2756</v>
      </c>
      <c r="K150" s="2" t="s">
        <v>68</v>
      </c>
      <c r="L150" s="2" t="s">
        <v>2757</v>
      </c>
      <c r="M150" s="2" t="s">
        <v>2758</v>
      </c>
      <c r="N150" s="2" t="s">
        <v>2759</v>
      </c>
      <c r="O150" s="2" t="s">
        <v>428</v>
      </c>
      <c r="P150" s="2" t="s">
        <v>2760</v>
      </c>
      <c r="Q150" s="2" t="s">
        <v>2761</v>
      </c>
      <c r="R150" s="2" t="s">
        <v>2762</v>
      </c>
      <c r="S150" s="2" t="s">
        <v>2763</v>
      </c>
      <c r="T150" s="2" t="s">
        <v>2764</v>
      </c>
      <c r="U150" s="2" t="s">
        <v>2765</v>
      </c>
      <c r="V150" s="2" t="s">
        <v>2766</v>
      </c>
      <c r="W150" s="2" t="s">
        <v>80</v>
      </c>
      <c r="X150" s="4">
        <v>30</v>
      </c>
      <c r="Y150" s="4">
        <v>33</v>
      </c>
      <c r="Z150" s="4">
        <v>34</v>
      </c>
      <c r="AA150" s="4">
        <v>21</v>
      </c>
      <c r="AB150" s="4">
        <v>152</v>
      </c>
      <c r="AC150" s="2" t="s">
        <v>2767</v>
      </c>
      <c r="AD150" s="2" t="s">
        <v>2768</v>
      </c>
      <c r="AE150" s="2" t="s">
        <v>2769</v>
      </c>
      <c r="AF150" s="2" t="s">
        <v>2770</v>
      </c>
      <c r="AG150" s="2" t="s">
        <v>2771</v>
      </c>
      <c r="AH150" s="2" t="s">
        <v>86</v>
      </c>
      <c r="AI150" s="2" t="s">
        <v>2772</v>
      </c>
      <c r="AJ150" s="2" t="s">
        <v>2773</v>
      </c>
      <c r="AK150" s="2" t="s">
        <v>86</v>
      </c>
      <c r="AL150" s="4">
        <v>2019</v>
      </c>
      <c r="AM150" s="4">
        <v>17</v>
      </c>
      <c r="AN150" s="4">
        <v>4</v>
      </c>
      <c r="AO150" s="2" t="s">
        <v>86</v>
      </c>
      <c r="AP150" s="2" t="s">
        <v>86</v>
      </c>
      <c r="AQ150" s="2" t="s">
        <v>86</v>
      </c>
      <c r="AR150" s="2" t="s">
        <v>86</v>
      </c>
      <c r="AS150" s="4">
        <v>7301</v>
      </c>
      <c r="AT150" s="4">
        <v>7310</v>
      </c>
      <c r="AU150" s="2" t="s">
        <v>86</v>
      </c>
      <c r="AV150" s="2" t="s">
        <v>86</v>
      </c>
      <c r="AW150" s="2" t="s">
        <v>86</v>
      </c>
      <c r="AX150" s="4">
        <v>10</v>
      </c>
      <c r="AY150" s="2" t="s">
        <v>193</v>
      </c>
      <c r="AZ150" s="2" t="s">
        <v>92</v>
      </c>
      <c r="BA150" s="2" t="s">
        <v>93</v>
      </c>
      <c r="BB150" s="2" t="s">
        <v>2774</v>
      </c>
      <c r="BC150" s="2" t="s">
        <v>86</v>
      </c>
      <c r="BD150" s="2" t="s">
        <v>321</v>
      </c>
      <c r="BE150" s="2" t="s">
        <v>86</v>
      </c>
      <c r="BF150" s="2" t="s">
        <v>86</v>
      </c>
      <c r="BG150" s="2" t="s">
        <v>95</v>
      </c>
      <c r="BH150" s="2" t="s">
        <v>2775</v>
      </c>
      <c r="BI150" s="2" t="str">
        <f>HYPERLINK("https%3A%2F%2Fwww.webofscience.com%2Fwos%2Fwoscc%2Ffull-record%2FWOS:000478066700005","View Full Record in Web of Science")</f>
        <v>View Full Record in Web of Science</v>
      </c>
    </row>
    <row r="151" spans="1:61" ht="12.75" x14ac:dyDescent="0.2">
      <c r="A151" s="8">
        <v>147</v>
      </c>
      <c r="B151" s="8" t="s">
        <v>1049</v>
      </c>
      <c r="C151" s="8" t="s">
        <v>2776</v>
      </c>
      <c r="D151" s="9" t="s">
        <v>2777</v>
      </c>
      <c r="E151" s="9" t="s">
        <v>2778</v>
      </c>
      <c r="F151" s="11" t="str">
        <f>HYPERLINK("http://dx.doi.org/10.4194/TRJFAS20157","http://dx.doi.org/10.4194/TRJFAS20157")</f>
        <v>http://dx.doi.org/10.4194/TRJFAS20157</v>
      </c>
      <c r="G151" s="9" t="s">
        <v>200</v>
      </c>
      <c r="H151" s="9" t="s">
        <v>2779</v>
      </c>
      <c r="I151" s="9" t="s">
        <v>2780</v>
      </c>
      <c r="J151" s="9" t="s">
        <v>620</v>
      </c>
      <c r="K151" s="9" t="s">
        <v>68</v>
      </c>
      <c r="L151" s="9" t="s">
        <v>2781</v>
      </c>
      <c r="M151" s="9" t="s">
        <v>2782</v>
      </c>
      <c r="N151" s="9" t="s">
        <v>2783</v>
      </c>
      <c r="O151" s="9" t="s">
        <v>2784</v>
      </c>
      <c r="P151" s="9" t="s">
        <v>2785</v>
      </c>
      <c r="Q151" s="9" t="s">
        <v>2786</v>
      </c>
      <c r="R151" s="9" t="s">
        <v>86</v>
      </c>
      <c r="S151" s="9" t="s">
        <v>86</v>
      </c>
      <c r="T151" s="9" t="s">
        <v>86</v>
      </c>
      <c r="U151" s="9" t="s">
        <v>86</v>
      </c>
      <c r="V151" s="9" t="s">
        <v>86</v>
      </c>
      <c r="W151" s="9" t="s">
        <v>80</v>
      </c>
      <c r="X151" s="12">
        <v>41</v>
      </c>
      <c r="Y151" s="12">
        <v>11</v>
      </c>
      <c r="Z151" s="12">
        <v>11</v>
      </c>
      <c r="AA151" s="12">
        <v>12</v>
      </c>
      <c r="AB151" s="12">
        <v>60</v>
      </c>
      <c r="AC151" s="9" t="s">
        <v>629</v>
      </c>
      <c r="AD151" s="9" t="s">
        <v>630</v>
      </c>
      <c r="AE151" s="9" t="s">
        <v>631</v>
      </c>
      <c r="AF151" s="9" t="s">
        <v>632</v>
      </c>
      <c r="AG151" s="9" t="s">
        <v>633</v>
      </c>
      <c r="AH151" s="9" t="s">
        <v>86</v>
      </c>
      <c r="AI151" s="9" t="s">
        <v>634</v>
      </c>
      <c r="AJ151" s="9" t="s">
        <v>635</v>
      </c>
      <c r="AK151" s="9" t="s">
        <v>1458</v>
      </c>
      <c r="AL151" s="12">
        <v>2022</v>
      </c>
      <c r="AM151" s="12">
        <v>22</v>
      </c>
      <c r="AN151" s="12">
        <v>7</v>
      </c>
      <c r="AO151" s="9" t="s">
        <v>86</v>
      </c>
      <c r="AP151" s="9" t="s">
        <v>86</v>
      </c>
      <c r="AQ151" s="9" t="s">
        <v>963</v>
      </c>
      <c r="AR151" s="9" t="s">
        <v>86</v>
      </c>
      <c r="AS151" s="9" t="s">
        <v>86</v>
      </c>
      <c r="AT151" s="9" t="s">
        <v>86</v>
      </c>
      <c r="AU151" s="9" t="s">
        <v>2787</v>
      </c>
      <c r="AV151" s="9" t="s">
        <v>86</v>
      </c>
      <c r="AW151" s="9" t="s">
        <v>86</v>
      </c>
      <c r="AX151" s="12">
        <v>12</v>
      </c>
      <c r="AY151" s="9" t="s">
        <v>319</v>
      </c>
      <c r="AZ151" s="9" t="s">
        <v>92</v>
      </c>
      <c r="BA151" s="9" t="s">
        <v>319</v>
      </c>
      <c r="BB151" s="9" t="s">
        <v>2409</v>
      </c>
      <c r="BC151" s="9" t="s">
        <v>86</v>
      </c>
      <c r="BD151" s="9" t="s">
        <v>321</v>
      </c>
      <c r="BE151" s="9" t="s">
        <v>86</v>
      </c>
      <c r="BF151" s="9" t="s">
        <v>86</v>
      </c>
      <c r="BG151" s="9" t="s">
        <v>95</v>
      </c>
      <c r="BH151" s="9" t="s">
        <v>2788</v>
      </c>
      <c r="BI151" s="9" t="str">
        <f>HYPERLINK("https%3A%2F%2Fwww.webofscience.com%2Fwos%2Fwoscc%2Ffull-record%2FWOS:000898185300001","View Full Record in Web of Science")</f>
        <v>View Full Record in Web of Science</v>
      </c>
    </row>
    <row r="152" spans="1:61" customFormat="1" ht="12.75" x14ac:dyDescent="0.2">
      <c r="A152" s="1">
        <v>148</v>
      </c>
      <c r="B152" s="1" t="s">
        <v>1068</v>
      </c>
      <c r="C152" s="1" t="s">
        <v>2789</v>
      </c>
      <c r="D152" s="2" t="s">
        <v>2790</v>
      </c>
      <c r="E152" s="2" t="s">
        <v>2791</v>
      </c>
      <c r="F152" s="3" t="str">
        <f>HYPERLINK("http://dx.doi.org/10.1016/j.scitotenv.2022.155407","http://dx.doi.org/10.1016/j.scitotenv.2022.155407")</f>
        <v>http://dx.doi.org/10.1016/j.scitotenv.2022.155407</v>
      </c>
      <c r="G152" s="2" t="s">
        <v>200</v>
      </c>
      <c r="H152" s="2" t="s">
        <v>2792</v>
      </c>
      <c r="I152" s="2" t="s">
        <v>2793</v>
      </c>
      <c r="J152" s="2" t="s">
        <v>576</v>
      </c>
      <c r="K152" s="2" t="s">
        <v>68</v>
      </c>
      <c r="L152" s="2" t="s">
        <v>2794</v>
      </c>
      <c r="M152" s="2" t="s">
        <v>2795</v>
      </c>
      <c r="N152" s="2" t="s">
        <v>2796</v>
      </c>
      <c r="O152" s="2" t="s">
        <v>2797</v>
      </c>
      <c r="P152" s="2" t="s">
        <v>2798</v>
      </c>
      <c r="Q152" s="2" t="s">
        <v>2799</v>
      </c>
      <c r="R152" s="2" t="s">
        <v>2800</v>
      </c>
      <c r="S152" s="2" t="s">
        <v>2801</v>
      </c>
      <c r="T152" s="2" t="s">
        <v>2802</v>
      </c>
      <c r="U152" s="2" t="s">
        <v>2803</v>
      </c>
      <c r="V152" s="2" t="s">
        <v>2804</v>
      </c>
      <c r="W152" s="2" t="s">
        <v>80</v>
      </c>
      <c r="X152" s="4">
        <v>105</v>
      </c>
      <c r="Y152" s="4">
        <v>8</v>
      </c>
      <c r="Z152" s="4">
        <v>8</v>
      </c>
      <c r="AA152" s="4">
        <v>17</v>
      </c>
      <c r="AB152" s="4">
        <v>77</v>
      </c>
      <c r="AC152" s="2" t="s">
        <v>585</v>
      </c>
      <c r="AD152" s="2" t="s">
        <v>586</v>
      </c>
      <c r="AE152" s="2" t="s">
        <v>587</v>
      </c>
      <c r="AF152" s="2" t="s">
        <v>588</v>
      </c>
      <c r="AG152" s="2" t="s">
        <v>589</v>
      </c>
      <c r="AH152" s="2" t="s">
        <v>86</v>
      </c>
      <c r="AI152" s="2" t="s">
        <v>590</v>
      </c>
      <c r="AJ152" s="2" t="s">
        <v>591</v>
      </c>
      <c r="AK152" s="2" t="s">
        <v>2805</v>
      </c>
      <c r="AL152" s="4">
        <v>2022</v>
      </c>
      <c r="AM152" s="4">
        <v>836</v>
      </c>
      <c r="AN152" s="2" t="s">
        <v>86</v>
      </c>
      <c r="AO152" s="2" t="s">
        <v>86</v>
      </c>
      <c r="AP152" s="2" t="s">
        <v>86</v>
      </c>
      <c r="AQ152" s="2" t="s">
        <v>86</v>
      </c>
      <c r="AR152" s="2" t="s">
        <v>86</v>
      </c>
      <c r="AS152" s="2" t="s">
        <v>86</v>
      </c>
      <c r="AT152" s="2" t="s">
        <v>86</v>
      </c>
      <c r="AU152" s="4">
        <v>155407</v>
      </c>
      <c r="AV152" s="2" t="s">
        <v>86</v>
      </c>
      <c r="AW152" s="2" t="s">
        <v>343</v>
      </c>
      <c r="AX152" s="4">
        <v>13</v>
      </c>
      <c r="AY152" s="2" t="s">
        <v>91</v>
      </c>
      <c r="AZ152" s="2" t="s">
        <v>92</v>
      </c>
      <c r="BA152" s="2" t="s">
        <v>93</v>
      </c>
      <c r="BB152" s="2" t="s">
        <v>2806</v>
      </c>
      <c r="BC152" s="4">
        <v>35469887</v>
      </c>
      <c r="BD152" s="2" t="s">
        <v>86</v>
      </c>
      <c r="BE152" s="2" t="s">
        <v>86</v>
      </c>
      <c r="BF152" s="2" t="s">
        <v>86</v>
      </c>
      <c r="BG152" s="2" t="s">
        <v>95</v>
      </c>
      <c r="BH152" s="2" t="s">
        <v>2807</v>
      </c>
      <c r="BI152" s="2" t="str">
        <f>HYPERLINK("https%3A%2F%2Fwww.webofscience.com%2Fwos%2Fwoscc%2Ffull-record%2FWOS:000807359900016","View Full Record in Web of Science")</f>
        <v>View Full Record in Web of Science</v>
      </c>
    </row>
    <row r="153" spans="1:61" ht="12.75" x14ac:dyDescent="0.2">
      <c r="A153" s="8">
        <v>149</v>
      </c>
      <c r="B153" s="8" t="s">
        <v>1049</v>
      </c>
      <c r="C153" s="8" t="s">
        <v>2808</v>
      </c>
      <c r="D153" s="9" t="s">
        <v>2809</v>
      </c>
      <c r="E153" s="9" t="s">
        <v>2810</v>
      </c>
      <c r="F153" s="11" t="str">
        <f>HYPERLINK("http://dx.doi.org/10.1016/j.jclepro.2021.129539","http://dx.doi.org/10.1016/j.jclepro.2021.129539")</f>
        <v>http://dx.doi.org/10.1016/j.jclepro.2021.129539</v>
      </c>
      <c r="G153" s="9" t="s">
        <v>200</v>
      </c>
      <c r="H153" s="9" t="s">
        <v>2663</v>
      </c>
      <c r="I153" s="9" t="s">
        <v>2664</v>
      </c>
      <c r="J153" s="9" t="s">
        <v>376</v>
      </c>
      <c r="K153" s="9" t="s">
        <v>68</v>
      </c>
      <c r="L153" s="9" t="s">
        <v>2811</v>
      </c>
      <c r="M153" s="9" t="s">
        <v>2812</v>
      </c>
      <c r="N153" s="9" t="s">
        <v>2667</v>
      </c>
      <c r="O153" s="9" t="s">
        <v>2668</v>
      </c>
      <c r="P153" s="9" t="s">
        <v>734</v>
      </c>
      <c r="Q153" s="9" t="s">
        <v>735</v>
      </c>
      <c r="R153" s="9" t="s">
        <v>86</v>
      </c>
      <c r="S153" s="9" t="s">
        <v>86</v>
      </c>
      <c r="T153" s="9" t="s">
        <v>737</v>
      </c>
      <c r="U153" s="9" t="s">
        <v>434</v>
      </c>
      <c r="V153" s="9" t="s">
        <v>766</v>
      </c>
      <c r="W153" s="9" t="s">
        <v>80</v>
      </c>
      <c r="X153" s="12">
        <v>82</v>
      </c>
      <c r="Y153" s="12">
        <v>6</v>
      </c>
      <c r="Z153" s="12">
        <v>6</v>
      </c>
      <c r="AA153" s="12">
        <v>4</v>
      </c>
      <c r="AB153" s="12">
        <v>22</v>
      </c>
      <c r="AC153" s="9" t="s">
        <v>114</v>
      </c>
      <c r="AD153" s="9" t="s">
        <v>115</v>
      </c>
      <c r="AE153" s="9" t="s">
        <v>116</v>
      </c>
      <c r="AF153" s="9" t="s">
        <v>386</v>
      </c>
      <c r="AG153" s="9" t="s">
        <v>387</v>
      </c>
      <c r="AH153" s="9" t="s">
        <v>86</v>
      </c>
      <c r="AI153" s="9" t="s">
        <v>388</v>
      </c>
      <c r="AJ153" s="9" t="s">
        <v>389</v>
      </c>
      <c r="AK153" s="9" t="s">
        <v>2813</v>
      </c>
      <c r="AL153" s="12">
        <v>2021</v>
      </c>
      <c r="AM153" s="12">
        <v>328</v>
      </c>
      <c r="AN153" s="9" t="s">
        <v>86</v>
      </c>
      <c r="AO153" s="9" t="s">
        <v>86</v>
      </c>
      <c r="AP153" s="9" t="s">
        <v>86</v>
      </c>
      <c r="AQ153" s="9" t="s">
        <v>86</v>
      </c>
      <c r="AR153" s="9" t="s">
        <v>86</v>
      </c>
      <c r="AS153" s="9" t="s">
        <v>86</v>
      </c>
      <c r="AT153" s="9" t="s">
        <v>86</v>
      </c>
      <c r="AU153" s="12">
        <v>129539</v>
      </c>
      <c r="AV153" s="9" t="s">
        <v>86</v>
      </c>
      <c r="AW153" s="9" t="s">
        <v>1781</v>
      </c>
      <c r="AX153" s="12">
        <v>14</v>
      </c>
      <c r="AY153" s="9" t="s">
        <v>392</v>
      </c>
      <c r="AZ153" s="9" t="s">
        <v>92</v>
      </c>
      <c r="BA153" s="9" t="s">
        <v>393</v>
      </c>
      <c r="BB153" s="9" t="s">
        <v>2814</v>
      </c>
      <c r="BC153" s="9" t="s">
        <v>86</v>
      </c>
      <c r="BD153" s="9" t="s">
        <v>86</v>
      </c>
      <c r="BE153" s="9" t="s">
        <v>86</v>
      </c>
      <c r="BF153" s="9" t="s">
        <v>86</v>
      </c>
      <c r="BG153" s="9" t="s">
        <v>95</v>
      </c>
      <c r="BH153" s="9" t="s">
        <v>2815</v>
      </c>
      <c r="BI153" s="9" t="str">
        <f>HYPERLINK("https%3A%2F%2Fwww.webofscience.com%2Fwos%2Fwoscc%2Ffull-record%2FWOS:000730155600010","View Full Record in Web of Science")</f>
        <v>View Full Record in Web of Science</v>
      </c>
    </row>
    <row r="154" spans="1:61" customFormat="1" ht="12.75" x14ac:dyDescent="0.2">
      <c r="A154" s="1">
        <v>150</v>
      </c>
      <c r="B154" s="1" t="s">
        <v>1068</v>
      </c>
      <c r="C154" s="1" t="s">
        <v>2816</v>
      </c>
      <c r="D154" s="2" t="s">
        <v>2817</v>
      </c>
      <c r="E154" s="2" t="s">
        <v>2818</v>
      </c>
      <c r="F154" s="3" t="str">
        <f>HYPERLINK("http://dx.doi.org/10.2166/wst.2021.356","http://dx.doi.org/10.2166/wst.2021.356")</f>
        <v>http://dx.doi.org/10.2166/wst.2021.356</v>
      </c>
      <c r="G154" s="2" t="s">
        <v>200</v>
      </c>
      <c r="H154" s="2" t="s">
        <v>2819</v>
      </c>
      <c r="I154" s="2" t="s">
        <v>2820</v>
      </c>
      <c r="J154" s="2" t="s">
        <v>599</v>
      </c>
      <c r="K154" s="2" t="s">
        <v>68</v>
      </c>
      <c r="L154" s="2" t="s">
        <v>2821</v>
      </c>
      <c r="M154" s="2" t="s">
        <v>2822</v>
      </c>
      <c r="N154" s="2" t="s">
        <v>2823</v>
      </c>
      <c r="O154" s="2" t="s">
        <v>1451</v>
      </c>
      <c r="P154" s="2" t="s">
        <v>1742</v>
      </c>
      <c r="Q154" s="2" t="s">
        <v>2824</v>
      </c>
      <c r="R154" s="2" t="s">
        <v>2825</v>
      </c>
      <c r="S154" s="2" t="s">
        <v>2826</v>
      </c>
      <c r="T154" s="2" t="s">
        <v>2827</v>
      </c>
      <c r="U154" s="2" t="s">
        <v>434</v>
      </c>
      <c r="V154" s="2" t="s">
        <v>2828</v>
      </c>
      <c r="W154" s="2" t="s">
        <v>80</v>
      </c>
      <c r="X154" s="4">
        <v>69</v>
      </c>
      <c r="Y154" s="4">
        <v>18</v>
      </c>
      <c r="Z154" s="4">
        <v>18</v>
      </c>
      <c r="AA154" s="4">
        <v>14</v>
      </c>
      <c r="AB154" s="4">
        <v>71</v>
      </c>
      <c r="AC154" s="2" t="s">
        <v>604</v>
      </c>
      <c r="AD154" s="2" t="s">
        <v>605</v>
      </c>
      <c r="AE154" s="2" t="s">
        <v>606</v>
      </c>
      <c r="AF154" s="2" t="s">
        <v>607</v>
      </c>
      <c r="AG154" s="2" t="s">
        <v>608</v>
      </c>
      <c r="AH154" s="2" t="s">
        <v>86</v>
      </c>
      <c r="AI154" s="2" t="s">
        <v>609</v>
      </c>
      <c r="AJ154" s="2" t="s">
        <v>610</v>
      </c>
      <c r="AK154" s="2" t="s">
        <v>849</v>
      </c>
      <c r="AL154" s="4">
        <v>2021</v>
      </c>
      <c r="AM154" s="4">
        <v>84</v>
      </c>
      <c r="AN154" s="4">
        <v>7</v>
      </c>
      <c r="AO154" s="2" t="s">
        <v>86</v>
      </c>
      <c r="AP154" s="2" t="s">
        <v>86</v>
      </c>
      <c r="AQ154" s="2" t="s">
        <v>86</v>
      </c>
      <c r="AR154" s="2" t="s">
        <v>86</v>
      </c>
      <c r="AS154" s="4">
        <v>1648</v>
      </c>
      <c r="AT154" s="4">
        <v>1662</v>
      </c>
      <c r="AU154" s="2" t="s">
        <v>86</v>
      </c>
      <c r="AV154" s="2" t="s">
        <v>86</v>
      </c>
      <c r="AW154" s="2" t="s">
        <v>2258</v>
      </c>
      <c r="AX154" s="4">
        <v>15</v>
      </c>
      <c r="AY154" s="2" t="s">
        <v>494</v>
      </c>
      <c r="AZ154" s="2" t="s">
        <v>92</v>
      </c>
      <c r="BA154" s="2" t="s">
        <v>495</v>
      </c>
      <c r="BB154" s="2" t="s">
        <v>2829</v>
      </c>
      <c r="BC154" s="4">
        <v>34662303</v>
      </c>
      <c r="BD154" s="2" t="s">
        <v>321</v>
      </c>
      <c r="BE154" s="2" t="s">
        <v>86</v>
      </c>
      <c r="BF154" s="2" t="s">
        <v>86</v>
      </c>
      <c r="BG154" s="2" t="s">
        <v>95</v>
      </c>
      <c r="BH154" s="2" t="s">
        <v>2830</v>
      </c>
      <c r="BI154" s="2" t="str">
        <f>HYPERLINK("https%3A%2F%2Fwww.webofscience.com%2Fwos%2Fwoscc%2Ffull-record%2FWOS:000693469700001","View Full Record in Web of Science")</f>
        <v>View Full Record in Web of Science</v>
      </c>
    </row>
    <row r="155" spans="1:61" customFormat="1" ht="12.75" x14ac:dyDescent="0.2">
      <c r="A155" s="1">
        <v>151</v>
      </c>
      <c r="B155" s="1" t="s">
        <v>1068</v>
      </c>
      <c r="C155" s="1" t="s">
        <v>2831</v>
      </c>
      <c r="D155" s="2" t="s">
        <v>2832</v>
      </c>
      <c r="E155" s="2" t="s">
        <v>2833</v>
      </c>
      <c r="F155" s="3" t="str">
        <f>HYPERLINK("http://dx.doi.org/10.1016/j.jhazmat.2021.126573","http://dx.doi.org/10.1016/j.jhazmat.2021.126573")</f>
        <v>http://dx.doi.org/10.1016/j.jhazmat.2021.126573</v>
      </c>
      <c r="G155" s="2" t="s">
        <v>200</v>
      </c>
      <c r="H155" s="2" t="s">
        <v>2834</v>
      </c>
      <c r="I155" s="2" t="s">
        <v>2835</v>
      </c>
      <c r="J155" s="2" t="s">
        <v>2836</v>
      </c>
      <c r="K155" s="2" t="s">
        <v>68</v>
      </c>
      <c r="L155" s="2" t="s">
        <v>2837</v>
      </c>
      <c r="M155" s="2" t="s">
        <v>2838</v>
      </c>
      <c r="N155" s="2" t="s">
        <v>2839</v>
      </c>
      <c r="O155" s="2" t="s">
        <v>2840</v>
      </c>
      <c r="P155" s="2" t="s">
        <v>282</v>
      </c>
      <c r="Q155" s="2" t="s">
        <v>283</v>
      </c>
      <c r="R155" s="2" t="s">
        <v>284</v>
      </c>
      <c r="S155" s="2" t="s">
        <v>86</v>
      </c>
      <c r="T155" s="2" t="s">
        <v>86</v>
      </c>
      <c r="U155" s="2" t="s">
        <v>86</v>
      </c>
      <c r="V155" s="2" t="s">
        <v>86</v>
      </c>
      <c r="W155" s="2" t="s">
        <v>80</v>
      </c>
      <c r="X155" s="4">
        <v>50</v>
      </c>
      <c r="Y155" s="4">
        <v>7</v>
      </c>
      <c r="Z155" s="4">
        <v>7</v>
      </c>
      <c r="AA155" s="4">
        <v>6</v>
      </c>
      <c r="AB155" s="4">
        <v>32</v>
      </c>
      <c r="AC155" s="2" t="s">
        <v>585</v>
      </c>
      <c r="AD155" s="2" t="s">
        <v>586</v>
      </c>
      <c r="AE155" s="2" t="s">
        <v>587</v>
      </c>
      <c r="AF155" s="2" t="s">
        <v>2841</v>
      </c>
      <c r="AG155" s="2" t="s">
        <v>2842</v>
      </c>
      <c r="AH155" s="2" t="s">
        <v>86</v>
      </c>
      <c r="AI155" s="2" t="s">
        <v>2843</v>
      </c>
      <c r="AJ155" s="2" t="s">
        <v>2844</v>
      </c>
      <c r="AK155" s="2" t="s">
        <v>493</v>
      </c>
      <c r="AL155" s="4">
        <v>2021</v>
      </c>
      <c r="AM155" s="4">
        <v>420</v>
      </c>
      <c r="AN155" s="2" t="s">
        <v>86</v>
      </c>
      <c r="AO155" s="2" t="s">
        <v>86</v>
      </c>
      <c r="AP155" s="2" t="s">
        <v>86</v>
      </c>
      <c r="AQ155" s="2" t="s">
        <v>86</v>
      </c>
      <c r="AR155" s="2" t="s">
        <v>86</v>
      </c>
      <c r="AS155" s="2" t="s">
        <v>86</v>
      </c>
      <c r="AT155" s="2" t="s">
        <v>86</v>
      </c>
      <c r="AU155" s="4">
        <v>126573</v>
      </c>
      <c r="AV155" s="2" t="s">
        <v>86</v>
      </c>
      <c r="AW155" s="2" t="s">
        <v>1160</v>
      </c>
      <c r="AX155" s="4">
        <v>9</v>
      </c>
      <c r="AY155" s="2" t="s">
        <v>567</v>
      </c>
      <c r="AZ155" s="2" t="s">
        <v>92</v>
      </c>
      <c r="BA155" s="2" t="s">
        <v>568</v>
      </c>
      <c r="BB155" s="2" t="s">
        <v>2845</v>
      </c>
      <c r="BC155" s="4">
        <v>34265653</v>
      </c>
      <c r="BD155" s="2" t="s">
        <v>86</v>
      </c>
      <c r="BE155" s="2" t="s">
        <v>86</v>
      </c>
      <c r="BF155" s="2" t="s">
        <v>86</v>
      </c>
      <c r="BG155" s="2" t="s">
        <v>95</v>
      </c>
      <c r="BH155" s="2" t="s">
        <v>2846</v>
      </c>
      <c r="BI155" s="2" t="str">
        <f>HYPERLINK("https%3A%2F%2Fwww.webofscience.com%2Fwos%2Fwoscc%2Ffull-record%2FWOS:000716428300002","View Full Record in Web of Science")</f>
        <v>View Full Record in Web of Science</v>
      </c>
    </row>
    <row r="156" spans="1:61" customFormat="1" ht="12.75" x14ac:dyDescent="0.2">
      <c r="A156" s="1">
        <v>152</v>
      </c>
      <c r="B156" s="1" t="s">
        <v>1068</v>
      </c>
      <c r="C156" s="1" t="s">
        <v>2847</v>
      </c>
      <c r="D156" s="2" t="s">
        <v>2848</v>
      </c>
      <c r="E156" s="2" t="s">
        <v>2849</v>
      </c>
      <c r="F156" s="3" t="str">
        <f>HYPERLINK("http://dx.doi.org/10.1016/j.cbpc.2022.109340","http://dx.doi.org/10.1016/j.cbpc.2022.109340")</f>
        <v>http://dx.doi.org/10.1016/j.cbpc.2022.109340</v>
      </c>
      <c r="G156" s="2" t="s">
        <v>200</v>
      </c>
      <c r="H156" s="2" t="s">
        <v>2850</v>
      </c>
      <c r="I156" s="2" t="s">
        <v>2851</v>
      </c>
      <c r="J156" s="2" t="s">
        <v>2852</v>
      </c>
      <c r="K156" s="2" t="s">
        <v>68</v>
      </c>
      <c r="L156" s="2" t="s">
        <v>2853</v>
      </c>
      <c r="M156" s="2" t="s">
        <v>2854</v>
      </c>
      <c r="N156" s="2" t="s">
        <v>2855</v>
      </c>
      <c r="O156" s="2" t="s">
        <v>559</v>
      </c>
      <c r="P156" s="2" t="s">
        <v>2856</v>
      </c>
      <c r="Q156" s="2" t="s">
        <v>561</v>
      </c>
      <c r="R156" s="2" t="s">
        <v>86</v>
      </c>
      <c r="S156" s="2" t="s">
        <v>86</v>
      </c>
      <c r="T156" s="2" t="s">
        <v>86</v>
      </c>
      <c r="U156" s="2" t="s">
        <v>86</v>
      </c>
      <c r="V156" s="2" t="s">
        <v>86</v>
      </c>
      <c r="W156" s="2" t="s">
        <v>80</v>
      </c>
      <c r="X156" s="4">
        <v>88</v>
      </c>
      <c r="Y156" s="4">
        <v>5</v>
      </c>
      <c r="Z156" s="4">
        <v>5</v>
      </c>
      <c r="AA156" s="4">
        <v>13</v>
      </c>
      <c r="AB156" s="4">
        <v>25</v>
      </c>
      <c r="AC156" s="2" t="s">
        <v>2857</v>
      </c>
      <c r="AD156" s="2" t="s">
        <v>1355</v>
      </c>
      <c r="AE156" s="2" t="s">
        <v>2858</v>
      </c>
      <c r="AF156" s="2" t="s">
        <v>2859</v>
      </c>
      <c r="AG156" s="2" t="s">
        <v>2860</v>
      </c>
      <c r="AH156" s="2" t="s">
        <v>86</v>
      </c>
      <c r="AI156" s="2" t="s">
        <v>2861</v>
      </c>
      <c r="AJ156" s="2" t="s">
        <v>2862</v>
      </c>
      <c r="AK156" s="2" t="s">
        <v>1458</v>
      </c>
      <c r="AL156" s="4">
        <v>2022</v>
      </c>
      <c r="AM156" s="4">
        <v>257</v>
      </c>
      <c r="AN156" s="2" t="s">
        <v>86</v>
      </c>
      <c r="AO156" s="2" t="s">
        <v>86</v>
      </c>
      <c r="AP156" s="2" t="s">
        <v>86</v>
      </c>
      <c r="AQ156" s="2" t="s">
        <v>86</v>
      </c>
      <c r="AR156" s="2" t="s">
        <v>86</v>
      </c>
      <c r="AS156" s="2" t="s">
        <v>86</v>
      </c>
      <c r="AT156" s="2" t="s">
        <v>86</v>
      </c>
      <c r="AU156" s="4">
        <v>109340</v>
      </c>
      <c r="AV156" s="2" t="s">
        <v>86</v>
      </c>
      <c r="AW156" s="2" t="s">
        <v>2863</v>
      </c>
      <c r="AX156" s="4">
        <v>12</v>
      </c>
      <c r="AY156" s="2" t="s">
        <v>2864</v>
      </c>
      <c r="AZ156" s="2" t="s">
        <v>92</v>
      </c>
      <c r="BA156" s="2" t="s">
        <v>2864</v>
      </c>
      <c r="BB156" s="2" t="s">
        <v>2865</v>
      </c>
      <c r="BC156" s="4">
        <v>35381365</v>
      </c>
      <c r="BD156" s="2" t="s">
        <v>86</v>
      </c>
      <c r="BE156" s="2" t="s">
        <v>86</v>
      </c>
      <c r="BF156" s="2" t="s">
        <v>86</v>
      </c>
      <c r="BG156" s="2" t="s">
        <v>95</v>
      </c>
      <c r="BH156" s="2" t="s">
        <v>2866</v>
      </c>
      <c r="BI156" s="2" t="str">
        <f>HYPERLINK("https%3A%2F%2Fwww.webofscience.com%2Fwos%2Fwoscc%2Ffull-record%2FWOS:000821072300013","View Full Record in Web of Science")</f>
        <v>View Full Record in Web of Science</v>
      </c>
    </row>
    <row r="157" spans="1:61" ht="12.75" x14ac:dyDescent="0.2">
      <c r="A157" s="8">
        <v>153</v>
      </c>
      <c r="B157" s="8" t="s">
        <v>1049</v>
      </c>
      <c r="C157" s="8" t="s">
        <v>2867</v>
      </c>
      <c r="D157" s="9" t="s">
        <v>2868</v>
      </c>
      <c r="E157" s="9" t="s">
        <v>2869</v>
      </c>
      <c r="F157" s="11" t="str">
        <f>HYPERLINK("http://dx.doi.org/10.1016/j.envpol.2019.113351","http://dx.doi.org/10.1016/j.envpol.2019.113351")</f>
        <v>http://dx.doi.org/10.1016/j.envpol.2019.113351</v>
      </c>
      <c r="G157" s="9" t="s">
        <v>200</v>
      </c>
      <c r="H157" s="9" t="s">
        <v>1522</v>
      </c>
      <c r="I157" s="9" t="s">
        <v>1523</v>
      </c>
      <c r="J157" s="9" t="s">
        <v>102</v>
      </c>
      <c r="K157" s="9" t="s">
        <v>68</v>
      </c>
      <c r="L157" s="9" t="s">
        <v>2870</v>
      </c>
      <c r="M157" s="9" t="s">
        <v>2871</v>
      </c>
      <c r="N157" s="9" t="s">
        <v>2872</v>
      </c>
      <c r="O157" s="9" t="s">
        <v>1173</v>
      </c>
      <c r="P157" s="9" t="s">
        <v>73</v>
      </c>
      <c r="Q157" s="9" t="s">
        <v>74</v>
      </c>
      <c r="R157" s="9" t="s">
        <v>1175</v>
      </c>
      <c r="S157" s="9" t="s">
        <v>1176</v>
      </c>
      <c r="T157" s="9" t="s">
        <v>2873</v>
      </c>
      <c r="U157" s="9" t="s">
        <v>2874</v>
      </c>
      <c r="V157" s="9" t="s">
        <v>2875</v>
      </c>
      <c r="W157" s="9" t="s">
        <v>80</v>
      </c>
      <c r="X157" s="12">
        <v>57</v>
      </c>
      <c r="Y157" s="12">
        <v>25</v>
      </c>
      <c r="Z157" s="12">
        <v>27</v>
      </c>
      <c r="AA157" s="12">
        <v>1</v>
      </c>
      <c r="AB157" s="12">
        <v>29</v>
      </c>
      <c r="AC157" s="9" t="s">
        <v>114</v>
      </c>
      <c r="AD157" s="9" t="s">
        <v>115</v>
      </c>
      <c r="AE157" s="9" t="s">
        <v>116</v>
      </c>
      <c r="AF157" s="9" t="s">
        <v>117</v>
      </c>
      <c r="AG157" s="9" t="s">
        <v>118</v>
      </c>
      <c r="AH157" s="9" t="s">
        <v>86</v>
      </c>
      <c r="AI157" s="9" t="s">
        <v>119</v>
      </c>
      <c r="AJ157" s="9" t="s">
        <v>120</v>
      </c>
      <c r="AK157" s="9" t="s">
        <v>217</v>
      </c>
      <c r="AL157" s="12">
        <v>2019</v>
      </c>
      <c r="AM157" s="12">
        <v>255</v>
      </c>
      <c r="AN157" s="9" t="s">
        <v>86</v>
      </c>
      <c r="AO157" s="12">
        <v>3</v>
      </c>
      <c r="AP157" s="9" t="s">
        <v>86</v>
      </c>
      <c r="AQ157" s="9" t="s">
        <v>86</v>
      </c>
      <c r="AR157" s="9" t="s">
        <v>86</v>
      </c>
      <c r="AS157" s="9" t="s">
        <v>86</v>
      </c>
      <c r="AT157" s="9" t="s">
        <v>86</v>
      </c>
      <c r="AU157" s="12">
        <v>113351</v>
      </c>
      <c r="AV157" s="9" t="s">
        <v>86</v>
      </c>
      <c r="AW157" s="9" t="s">
        <v>86</v>
      </c>
      <c r="AX157" s="12">
        <v>9</v>
      </c>
      <c r="AY157" s="9" t="s">
        <v>91</v>
      </c>
      <c r="AZ157" s="9" t="s">
        <v>92</v>
      </c>
      <c r="BA157" s="9" t="s">
        <v>93</v>
      </c>
      <c r="BB157" s="9" t="s">
        <v>2876</v>
      </c>
      <c r="BC157" s="12">
        <v>31627050</v>
      </c>
      <c r="BD157" s="9" t="s">
        <v>86</v>
      </c>
      <c r="BE157" s="9" t="s">
        <v>86</v>
      </c>
      <c r="BF157" s="9" t="s">
        <v>86</v>
      </c>
      <c r="BG157" s="9" t="s">
        <v>95</v>
      </c>
      <c r="BH157" s="9" t="s">
        <v>2877</v>
      </c>
      <c r="BI157" s="9" t="str">
        <f>HYPERLINK("https%3A%2F%2Fwww.webofscience.com%2Fwos%2Fwoscc%2Ffull-record%2FWOS:000498321100011","View Full Record in Web of Science")</f>
        <v>View Full Record in Web of Science</v>
      </c>
    </row>
    <row r="158" spans="1:61" ht="12.75" x14ac:dyDescent="0.2">
      <c r="A158" s="8">
        <v>154</v>
      </c>
      <c r="B158" s="8" t="s">
        <v>1049</v>
      </c>
      <c r="C158" s="8" t="s">
        <v>2878</v>
      </c>
      <c r="D158" s="9" t="s">
        <v>2879</v>
      </c>
      <c r="E158" s="9" t="s">
        <v>2880</v>
      </c>
      <c r="F158" s="11" t="str">
        <f>HYPERLINK("http://dx.doi.org/10.3390/su15021422","http://dx.doi.org/10.3390/su15021422")</f>
        <v>http://dx.doi.org/10.3390/su15021422</v>
      </c>
      <c r="G158" s="9" t="s">
        <v>200</v>
      </c>
      <c r="H158" s="9" t="s">
        <v>2881</v>
      </c>
      <c r="I158" s="9" t="s">
        <v>2882</v>
      </c>
      <c r="J158" s="9" t="s">
        <v>522</v>
      </c>
      <c r="K158" s="9" t="s">
        <v>68</v>
      </c>
      <c r="L158" s="9" t="s">
        <v>2883</v>
      </c>
      <c r="M158" s="9" t="s">
        <v>2884</v>
      </c>
      <c r="N158" s="9" t="s">
        <v>2885</v>
      </c>
      <c r="O158" s="9" t="s">
        <v>2886</v>
      </c>
      <c r="P158" s="9" t="s">
        <v>2887</v>
      </c>
      <c r="Q158" s="9" t="s">
        <v>283</v>
      </c>
      <c r="R158" s="9" t="s">
        <v>2888</v>
      </c>
      <c r="S158" s="9" t="s">
        <v>2889</v>
      </c>
      <c r="T158" s="9" t="s">
        <v>86</v>
      </c>
      <c r="U158" s="9" t="s">
        <v>86</v>
      </c>
      <c r="V158" s="9" t="s">
        <v>86</v>
      </c>
      <c r="W158" s="9" t="s">
        <v>80</v>
      </c>
      <c r="X158" s="12">
        <v>40</v>
      </c>
      <c r="Y158" s="12">
        <v>2</v>
      </c>
      <c r="Z158" s="12">
        <v>2</v>
      </c>
      <c r="AA158" s="12">
        <v>14</v>
      </c>
      <c r="AB158" s="12">
        <v>14</v>
      </c>
      <c r="AC158" s="9" t="s">
        <v>211</v>
      </c>
      <c r="AD158" s="9" t="s">
        <v>212</v>
      </c>
      <c r="AE158" s="9" t="s">
        <v>213</v>
      </c>
      <c r="AF158" s="9" t="s">
        <v>86</v>
      </c>
      <c r="AG158" s="9" t="s">
        <v>531</v>
      </c>
      <c r="AH158" s="9" t="s">
        <v>86</v>
      </c>
      <c r="AI158" s="9" t="s">
        <v>532</v>
      </c>
      <c r="AJ158" s="9" t="s">
        <v>533</v>
      </c>
      <c r="AK158" s="9" t="s">
        <v>534</v>
      </c>
      <c r="AL158" s="12">
        <v>2023</v>
      </c>
      <c r="AM158" s="12">
        <v>15</v>
      </c>
      <c r="AN158" s="12">
        <v>2</v>
      </c>
      <c r="AO158" s="9" t="s">
        <v>86</v>
      </c>
      <c r="AP158" s="9" t="s">
        <v>86</v>
      </c>
      <c r="AQ158" s="9" t="s">
        <v>86</v>
      </c>
      <c r="AR158" s="9" t="s">
        <v>86</v>
      </c>
      <c r="AS158" s="9" t="s">
        <v>86</v>
      </c>
      <c r="AT158" s="9" t="s">
        <v>86</v>
      </c>
      <c r="AU158" s="12">
        <v>1422</v>
      </c>
      <c r="AV158" s="9" t="s">
        <v>86</v>
      </c>
      <c r="AW158" s="9" t="s">
        <v>86</v>
      </c>
      <c r="AX158" s="12">
        <v>10</v>
      </c>
      <c r="AY158" s="9" t="s">
        <v>535</v>
      </c>
      <c r="AZ158" s="9" t="s">
        <v>536</v>
      </c>
      <c r="BA158" s="9" t="s">
        <v>537</v>
      </c>
      <c r="BB158" s="9" t="s">
        <v>2890</v>
      </c>
      <c r="BC158" s="9" t="s">
        <v>86</v>
      </c>
      <c r="BD158" s="9" t="s">
        <v>321</v>
      </c>
      <c r="BE158" s="9" t="s">
        <v>86</v>
      </c>
      <c r="BF158" s="9" t="s">
        <v>86</v>
      </c>
      <c r="BG158" s="9" t="s">
        <v>95</v>
      </c>
      <c r="BH158" s="9" t="s">
        <v>2891</v>
      </c>
      <c r="BI158" s="9" t="str">
        <f>HYPERLINK("https%3A%2F%2Fwww.webofscience.com%2Fwos%2Fwoscc%2Ffull-record%2FWOS:000927096000001","View Full Record in Web of Science")</f>
        <v>View Full Record in Web of Science</v>
      </c>
    </row>
    <row r="159" spans="1:61" customFormat="1" ht="12.75" x14ac:dyDescent="0.2">
      <c r="A159" s="1">
        <v>155</v>
      </c>
      <c r="B159" s="1" t="s">
        <v>1068</v>
      </c>
      <c r="C159" s="1" t="s">
        <v>2892</v>
      </c>
      <c r="D159" s="2" t="s">
        <v>2893</v>
      </c>
      <c r="E159" s="2" t="s">
        <v>2894</v>
      </c>
      <c r="F159" s="3" t="str">
        <f>HYPERLINK("http://dx.doi.org/10.1016/j.psep.2023.05.005","http://dx.doi.org/10.1016/j.psep.2023.05.005")</f>
        <v>http://dx.doi.org/10.1016/j.psep.2023.05.005</v>
      </c>
      <c r="G159" s="2" t="s">
        <v>200</v>
      </c>
      <c r="H159" s="2" t="s">
        <v>2895</v>
      </c>
      <c r="I159" s="2" t="s">
        <v>2896</v>
      </c>
      <c r="J159" s="2" t="s">
        <v>730</v>
      </c>
      <c r="K159" s="2" t="s">
        <v>68</v>
      </c>
      <c r="L159" s="2" t="s">
        <v>2897</v>
      </c>
      <c r="M159" s="2" t="s">
        <v>2898</v>
      </c>
      <c r="N159" s="2" t="s">
        <v>2899</v>
      </c>
      <c r="O159" s="2" t="s">
        <v>2900</v>
      </c>
      <c r="P159" s="2" t="s">
        <v>2887</v>
      </c>
      <c r="Q159" s="2" t="s">
        <v>283</v>
      </c>
      <c r="R159" s="2" t="s">
        <v>86</v>
      </c>
      <c r="S159" s="2" t="s">
        <v>86</v>
      </c>
      <c r="T159" s="2" t="s">
        <v>86</v>
      </c>
      <c r="U159" s="2" t="s">
        <v>86</v>
      </c>
      <c r="V159" s="2" t="s">
        <v>86</v>
      </c>
      <c r="W159" s="2" t="s">
        <v>80</v>
      </c>
      <c r="X159" s="4">
        <v>58</v>
      </c>
      <c r="Y159" s="4">
        <v>0</v>
      </c>
      <c r="Z159" s="4">
        <v>0</v>
      </c>
      <c r="AA159" s="4">
        <v>5</v>
      </c>
      <c r="AB159" s="4">
        <v>5</v>
      </c>
      <c r="AC159" s="2" t="s">
        <v>585</v>
      </c>
      <c r="AD159" s="2" t="s">
        <v>586</v>
      </c>
      <c r="AE159" s="2" t="s">
        <v>587</v>
      </c>
      <c r="AF159" s="2" t="s">
        <v>739</v>
      </c>
      <c r="AG159" s="2" t="s">
        <v>740</v>
      </c>
      <c r="AH159" s="2" t="s">
        <v>86</v>
      </c>
      <c r="AI159" s="2" t="s">
        <v>741</v>
      </c>
      <c r="AJ159" s="2" t="s">
        <v>742</v>
      </c>
      <c r="AK159" s="2" t="s">
        <v>342</v>
      </c>
      <c r="AL159" s="4">
        <v>2023</v>
      </c>
      <c r="AM159" s="4">
        <v>174</v>
      </c>
      <c r="AN159" s="2" t="s">
        <v>86</v>
      </c>
      <c r="AO159" s="2" t="s">
        <v>86</v>
      </c>
      <c r="AP159" s="2" t="s">
        <v>86</v>
      </c>
      <c r="AQ159" s="2" t="s">
        <v>86</v>
      </c>
      <c r="AR159" s="2" t="s">
        <v>86</v>
      </c>
      <c r="AS159" s="4">
        <v>960</v>
      </c>
      <c r="AT159" s="4">
        <v>970</v>
      </c>
      <c r="AU159" s="2" t="s">
        <v>86</v>
      </c>
      <c r="AV159" s="2" t="s">
        <v>86</v>
      </c>
      <c r="AW159" s="2" t="s">
        <v>593</v>
      </c>
      <c r="AX159" s="4">
        <v>11</v>
      </c>
      <c r="AY159" s="2" t="s">
        <v>344</v>
      </c>
      <c r="AZ159" s="2" t="s">
        <v>92</v>
      </c>
      <c r="BA159" s="2" t="s">
        <v>345</v>
      </c>
      <c r="BB159" s="2" t="s">
        <v>2901</v>
      </c>
      <c r="BC159" s="2" t="s">
        <v>86</v>
      </c>
      <c r="BD159" s="2" t="s">
        <v>86</v>
      </c>
      <c r="BE159" s="2" t="s">
        <v>86</v>
      </c>
      <c r="BF159" s="2" t="s">
        <v>86</v>
      </c>
      <c r="BG159" s="2" t="s">
        <v>95</v>
      </c>
      <c r="BH159" s="2" t="s">
        <v>2902</v>
      </c>
      <c r="BI159" s="2" t="str">
        <f>HYPERLINK("https%3A%2F%2Fwww.webofscience.com%2Fwos%2Fwoscc%2Ffull-record%2FWOS:001004193000001","View Full Record in Web of Science")</f>
        <v>View Full Record in Web of Science</v>
      </c>
    </row>
    <row r="160" spans="1:61" customFormat="1" ht="12.75" x14ac:dyDescent="0.2">
      <c r="A160" s="1">
        <v>156</v>
      </c>
      <c r="B160" s="1" t="s">
        <v>1068</v>
      </c>
      <c r="C160" s="1" t="s">
        <v>2903</v>
      </c>
      <c r="D160" s="2" t="s">
        <v>2904</v>
      </c>
      <c r="E160" s="2" t="s">
        <v>2905</v>
      </c>
      <c r="F160" s="3" t="str">
        <f>HYPERLINK("http://dx.doi.org/10.1016/j.marpolbul.2019.01.032","http://dx.doi.org/10.1016/j.marpolbul.2019.01.032")</f>
        <v>http://dx.doi.org/10.1016/j.marpolbul.2019.01.032</v>
      </c>
      <c r="G160" s="2" t="s">
        <v>200</v>
      </c>
      <c r="H160" s="2" t="s">
        <v>2906</v>
      </c>
      <c r="I160" s="2" t="s">
        <v>2907</v>
      </c>
      <c r="J160" s="2" t="s">
        <v>424</v>
      </c>
      <c r="K160" s="2" t="s">
        <v>68</v>
      </c>
      <c r="L160" s="2" t="s">
        <v>2908</v>
      </c>
      <c r="M160" s="2" t="s">
        <v>2909</v>
      </c>
      <c r="N160" s="2" t="s">
        <v>2910</v>
      </c>
      <c r="O160" s="2" t="s">
        <v>2158</v>
      </c>
      <c r="P160" s="2" t="s">
        <v>1174</v>
      </c>
      <c r="Q160" s="2" t="s">
        <v>2911</v>
      </c>
      <c r="R160" s="2" t="s">
        <v>2912</v>
      </c>
      <c r="S160" s="2" t="s">
        <v>2913</v>
      </c>
      <c r="T160" s="2" t="s">
        <v>2914</v>
      </c>
      <c r="U160" s="2" t="s">
        <v>2915</v>
      </c>
      <c r="V160" s="2" t="s">
        <v>2916</v>
      </c>
      <c r="W160" s="2" t="s">
        <v>80</v>
      </c>
      <c r="X160" s="4">
        <v>46</v>
      </c>
      <c r="Y160" s="4">
        <v>20</v>
      </c>
      <c r="Z160" s="4">
        <v>22</v>
      </c>
      <c r="AA160" s="4">
        <v>4</v>
      </c>
      <c r="AB160" s="4">
        <v>110</v>
      </c>
      <c r="AC160" s="2" t="s">
        <v>237</v>
      </c>
      <c r="AD160" s="2" t="s">
        <v>115</v>
      </c>
      <c r="AE160" s="2" t="s">
        <v>238</v>
      </c>
      <c r="AF160" s="2" t="s">
        <v>436</v>
      </c>
      <c r="AG160" s="2" t="s">
        <v>437</v>
      </c>
      <c r="AH160" s="2" t="s">
        <v>86</v>
      </c>
      <c r="AI160" s="2" t="s">
        <v>438</v>
      </c>
      <c r="AJ160" s="2" t="s">
        <v>439</v>
      </c>
      <c r="AK160" s="2" t="s">
        <v>366</v>
      </c>
      <c r="AL160" s="4">
        <v>2019</v>
      </c>
      <c r="AM160" s="4">
        <v>140</v>
      </c>
      <c r="AN160" s="2" t="s">
        <v>86</v>
      </c>
      <c r="AO160" s="2" t="s">
        <v>86</v>
      </c>
      <c r="AP160" s="2" t="s">
        <v>86</v>
      </c>
      <c r="AQ160" s="2" t="s">
        <v>86</v>
      </c>
      <c r="AR160" s="2" t="s">
        <v>86</v>
      </c>
      <c r="AS160" s="4">
        <v>138</v>
      </c>
      <c r="AT160" s="4">
        <v>145</v>
      </c>
      <c r="AU160" s="2" t="s">
        <v>86</v>
      </c>
      <c r="AV160" s="2" t="s">
        <v>86</v>
      </c>
      <c r="AW160" s="2" t="s">
        <v>86</v>
      </c>
      <c r="AX160" s="4">
        <v>8</v>
      </c>
      <c r="AY160" s="2" t="s">
        <v>441</v>
      </c>
      <c r="AZ160" s="2" t="s">
        <v>92</v>
      </c>
      <c r="BA160" s="2" t="s">
        <v>442</v>
      </c>
      <c r="BB160" s="2" t="s">
        <v>2917</v>
      </c>
      <c r="BC160" s="4">
        <v>30803627</v>
      </c>
      <c r="BD160" s="2" t="s">
        <v>86</v>
      </c>
      <c r="BE160" s="2" t="s">
        <v>86</v>
      </c>
      <c r="BF160" s="2" t="s">
        <v>86</v>
      </c>
      <c r="BG160" s="2" t="s">
        <v>95</v>
      </c>
      <c r="BH160" s="2" t="s">
        <v>2918</v>
      </c>
      <c r="BI160" s="2" t="str">
        <f>HYPERLINK("https%3A%2F%2Fwww.webofscience.com%2Fwos%2Fwoscc%2Ffull-record%2FWOS:000461402300016","View Full Record in Web of Science")</f>
        <v>View Full Record in Web of Science</v>
      </c>
    </row>
    <row r="161" spans="1:61" customFormat="1" ht="12.75" x14ac:dyDescent="0.2">
      <c r="A161" s="1">
        <v>157</v>
      </c>
      <c r="B161" s="1" t="s">
        <v>1068</v>
      </c>
      <c r="C161" s="1" t="s">
        <v>2919</v>
      </c>
      <c r="D161" s="2" t="s">
        <v>2920</v>
      </c>
      <c r="E161" s="2" t="s">
        <v>2921</v>
      </c>
      <c r="F161" s="3" t="str">
        <f>HYPERLINK("http://dx.doi.org/10.4194/1303-2712-v20_2_06","http://dx.doi.org/10.4194/1303-2712-v20_2_06")</f>
        <v>http://dx.doi.org/10.4194/1303-2712-v20_2_06</v>
      </c>
      <c r="G161" s="2" t="s">
        <v>200</v>
      </c>
      <c r="H161" s="2" t="s">
        <v>2922</v>
      </c>
      <c r="I161" s="2" t="s">
        <v>2923</v>
      </c>
      <c r="J161" s="2" t="s">
        <v>620</v>
      </c>
      <c r="K161" s="2" t="s">
        <v>68</v>
      </c>
      <c r="L161" s="2" t="s">
        <v>2924</v>
      </c>
      <c r="M161" s="2" t="s">
        <v>2925</v>
      </c>
      <c r="N161" s="2" t="s">
        <v>2926</v>
      </c>
      <c r="O161" s="2" t="s">
        <v>1422</v>
      </c>
      <c r="P161" s="2" t="s">
        <v>1701</v>
      </c>
      <c r="Q161" s="2" t="s">
        <v>1702</v>
      </c>
      <c r="R161" s="2" t="s">
        <v>2927</v>
      </c>
      <c r="S161" s="2" t="s">
        <v>2928</v>
      </c>
      <c r="T161" s="2" t="s">
        <v>86</v>
      </c>
      <c r="U161" s="2" t="s">
        <v>86</v>
      </c>
      <c r="V161" s="2" t="s">
        <v>86</v>
      </c>
      <c r="W161" s="2" t="s">
        <v>80</v>
      </c>
      <c r="X161" s="4">
        <v>39</v>
      </c>
      <c r="Y161" s="4">
        <v>54</v>
      </c>
      <c r="Z161" s="4">
        <v>56</v>
      </c>
      <c r="AA161" s="4">
        <v>3</v>
      </c>
      <c r="AB161" s="4">
        <v>157</v>
      </c>
      <c r="AC161" s="2" t="s">
        <v>629</v>
      </c>
      <c r="AD161" s="2" t="s">
        <v>630</v>
      </c>
      <c r="AE161" s="2" t="s">
        <v>631</v>
      </c>
      <c r="AF161" s="2" t="s">
        <v>632</v>
      </c>
      <c r="AG161" s="2" t="s">
        <v>633</v>
      </c>
      <c r="AH161" s="2" t="s">
        <v>86</v>
      </c>
      <c r="AI161" s="2" t="s">
        <v>634</v>
      </c>
      <c r="AJ161" s="2" t="s">
        <v>635</v>
      </c>
      <c r="AK161" s="2" t="s">
        <v>146</v>
      </c>
      <c r="AL161" s="4">
        <v>2020</v>
      </c>
      <c r="AM161" s="4">
        <v>20</v>
      </c>
      <c r="AN161" s="4">
        <v>2</v>
      </c>
      <c r="AO161" s="2" t="s">
        <v>86</v>
      </c>
      <c r="AP161" s="2" t="s">
        <v>86</v>
      </c>
      <c r="AQ161" s="2" t="s">
        <v>86</v>
      </c>
      <c r="AR161" s="2" t="s">
        <v>86</v>
      </c>
      <c r="AS161" s="4">
        <v>137</v>
      </c>
      <c r="AT161" s="4">
        <v>145</v>
      </c>
      <c r="AU161" s="2" t="s">
        <v>86</v>
      </c>
      <c r="AV161" s="2" t="s">
        <v>86</v>
      </c>
      <c r="AW161" s="2" t="s">
        <v>86</v>
      </c>
      <c r="AX161" s="4">
        <v>9</v>
      </c>
      <c r="AY161" s="2" t="s">
        <v>319</v>
      </c>
      <c r="AZ161" s="2" t="s">
        <v>92</v>
      </c>
      <c r="BA161" s="2" t="s">
        <v>319</v>
      </c>
      <c r="BB161" s="2" t="s">
        <v>2929</v>
      </c>
      <c r="BC161" s="2" t="s">
        <v>86</v>
      </c>
      <c r="BD161" s="2" t="s">
        <v>321</v>
      </c>
      <c r="BE161" s="2" t="s">
        <v>86</v>
      </c>
      <c r="BF161" s="2" t="s">
        <v>86</v>
      </c>
      <c r="BG161" s="2" t="s">
        <v>95</v>
      </c>
      <c r="BH161" s="2" t="s">
        <v>2930</v>
      </c>
      <c r="BI161" s="2" t="str">
        <f>HYPERLINK("https%3A%2F%2Fwww.webofscience.com%2Fwos%2Fwoscc%2Ffull-record%2FWOS:000475948000006","View Full Record in Web of Science")</f>
        <v>View Full Record in Web of Science</v>
      </c>
    </row>
    <row r="162" spans="1:61" customFormat="1" ht="12.75" x14ac:dyDescent="0.2">
      <c r="A162" s="1">
        <v>158</v>
      </c>
      <c r="B162" s="1" t="s">
        <v>1068</v>
      </c>
      <c r="C162" s="1" t="s">
        <v>2931</v>
      </c>
      <c r="D162" s="2" t="s">
        <v>2932</v>
      </c>
      <c r="E162" s="2" t="s">
        <v>2933</v>
      </c>
      <c r="F162" s="3" t="str">
        <f>HYPERLINK("http://dx.doi.org/10.22059/POLL.2021.331026.1192","http://dx.doi.org/10.22059/POLL.2021.331026.1192")</f>
        <v>http://dx.doi.org/10.22059/POLL.2021.331026.1192</v>
      </c>
      <c r="G162" s="2" t="s">
        <v>200</v>
      </c>
      <c r="H162" s="2" t="s">
        <v>2934</v>
      </c>
      <c r="I162" s="2" t="s">
        <v>2935</v>
      </c>
      <c r="J162" s="2" t="s">
        <v>2936</v>
      </c>
      <c r="K162" s="2" t="s">
        <v>68</v>
      </c>
      <c r="L162" s="2" t="s">
        <v>2937</v>
      </c>
      <c r="M162" s="2" t="s">
        <v>2938</v>
      </c>
      <c r="N162" s="2" t="s">
        <v>2939</v>
      </c>
      <c r="O162" s="2" t="s">
        <v>2940</v>
      </c>
      <c r="P162" s="2" t="s">
        <v>2941</v>
      </c>
      <c r="Q162" s="2" t="s">
        <v>1603</v>
      </c>
      <c r="R162" s="2" t="s">
        <v>2942</v>
      </c>
      <c r="S162" s="2" t="s">
        <v>2943</v>
      </c>
      <c r="T162" s="2" t="s">
        <v>2944</v>
      </c>
      <c r="U162" s="2" t="s">
        <v>2945</v>
      </c>
      <c r="V162" s="2" t="s">
        <v>2946</v>
      </c>
      <c r="W162" s="2" t="s">
        <v>80</v>
      </c>
      <c r="X162" s="4">
        <v>31</v>
      </c>
      <c r="Y162" s="4">
        <v>4</v>
      </c>
      <c r="Z162" s="4">
        <v>4</v>
      </c>
      <c r="AA162" s="4">
        <v>1</v>
      </c>
      <c r="AB162" s="4">
        <v>3</v>
      </c>
      <c r="AC162" s="2" t="s">
        <v>2947</v>
      </c>
      <c r="AD162" s="2" t="s">
        <v>2948</v>
      </c>
      <c r="AE162" s="2" t="s">
        <v>2949</v>
      </c>
      <c r="AF162" s="2" t="s">
        <v>2950</v>
      </c>
      <c r="AG162" s="2" t="s">
        <v>2951</v>
      </c>
      <c r="AH162" s="2" t="s">
        <v>86</v>
      </c>
      <c r="AI162" s="2" t="s">
        <v>2936</v>
      </c>
      <c r="AJ162" s="2" t="s">
        <v>2952</v>
      </c>
      <c r="AK162" s="2" t="s">
        <v>86</v>
      </c>
      <c r="AL162" s="4">
        <v>2022</v>
      </c>
      <c r="AM162" s="4">
        <v>8</v>
      </c>
      <c r="AN162" s="4">
        <v>2</v>
      </c>
      <c r="AO162" s="2" t="s">
        <v>86</v>
      </c>
      <c r="AP162" s="2" t="s">
        <v>86</v>
      </c>
      <c r="AQ162" s="2" t="s">
        <v>86</v>
      </c>
      <c r="AR162" s="2" t="s">
        <v>86</v>
      </c>
      <c r="AS162" s="4">
        <v>543</v>
      </c>
      <c r="AT162" s="4">
        <v>552</v>
      </c>
      <c r="AU162" s="2" t="s">
        <v>86</v>
      </c>
      <c r="AV162" s="2" t="s">
        <v>86</v>
      </c>
      <c r="AW162" s="2" t="s">
        <v>86</v>
      </c>
      <c r="AX162" s="4">
        <v>10</v>
      </c>
      <c r="AY162" s="2" t="s">
        <v>91</v>
      </c>
      <c r="AZ162" s="2" t="s">
        <v>171</v>
      </c>
      <c r="BA162" s="2" t="s">
        <v>93</v>
      </c>
      <c r="BB162" s="2" t="s">
        <v>2953</v>
      </c>
      <c r="BC162" s="2" t="s">
        <v>86</v>
      </c>
      <c r="BD162" s="2" t="s">
        <v>86</v>
      </c>
      <c r="BE162" s="2" t="s">
        <v>86</v>
      </c>
      <c r="BF162" s="2" t="s">
        <v>86</v>
      </c>
      <c r="BG162" s="2" t="s">
        <v>95</v>
      </c>
      <c r="BH162" s="2" t="s">
        <v>2954</v>
      </c>
      <c r="BI162" s="2" t="str">
        <f>HYPERLINK("https%3A%2F%2Fwww.webofscience.com%2Fwos%2Fwoscc%2Ffull-record%2FWOS:000759076700013","View Full Record in Web of Science")</f>
        <v>View Full Record in Web of Science</v>
      </c>
    </row>
    <row r="163" spans="1:61" customFormat="1" ht="12.75" x14ac:dyDescent="0.2">
      <c r="A163" s="1">
        <v>159</v>
      </c>
      <c r="B163" s="1" t="s">
        <v>1068</v>
      </c>
      <c r="C163" s="1" t="s">
        <v>2955</v>
      </c>
      <c r="D163" s="2" t="s">
        <v>2956</v>
      </c>
      <c r="E163" s="2" t="s">
        <v>2957</v>
      </c>
      <c r="F163" s="3" t="str">
        <f>HYPERLINK("http://dx.doi.org/10.1016/j.ecss.2020.107114","http://dx.doi.org/10.1016/j.ecss.2020.107114")</f>
        <v>http://dx.doi.org/10.1016/j.ecss.2020.107114</v>
      </c>
      <c r="G163" s="2" t="s">
        <v>200</v>
      </c>
      <c r="H163" s="2" t="s">
        <v>2958</v>
      </c>
      <c r="I163" s="2" t="s">
        <v>2959</v>
      </c>
      <c r="J163" s="2" t="s">
        <v>2960</v>
      </c>
      <c r="K163" s="2" t="s">
        <v>68</v>
      </c>
      <c r="L163" s="2" t="s">
        <v>2961</v>
      </c>
      <c r="M163" s="2" t="s">
        <v>2962</v>
      </c>
      <c r="N163" s="2" t="s">
        <v>2963</v>
      </c>
      <c r="O163" s="2" t="s">
        <v>309</v>
      </c>
      <c r="P163" s="2" t="s">
        <v>2964</v>
      </c>
      <c r="Q163" s="2" t="s">
        <v>2965</v>
      </c>
      <c r="R163" s="2" t="s">
        <v>2966</v>
      </c>
      <c r="S163" s="2" t="s">
        <v>2967</v>
      </c>
      <c r="T163" s="2" t="s">
        <v>86</v>
      </c>
      <c r="U163" s="2" t="s">
        <v>86</v>
      </c>
      <c r="V163" s="2" t="s">
        <v>86</v>
      </c>
      <c r="W163" s="2" t="s">
        <v>80</v>
      </c>
      <c r="X163" s="4">
        <v>55</v>
      </c>
      <c r="Y163" s="4">
        <v>10</v>
      </c>
      <c r="Z163" s="4">
        <v>11</v>
      </c>
      <c r="AA163" s="4">
        <v>0</v>
      </c>
      <c r="AB163" s="4">
        <v>9</v>
      </c>
      <c r="AC163" s="2" t="s">
        <v>843</v>
      </c>
      <c r="AD163" s="2" t="s">
        <v>605</v>
      </c>
      <c r="AE163" s="2" t="s">
        <v>844</v>
      </c>
      <c r="AF163" s="2" t="s">
        <v>2968</v>
      </c>
      <c r="AG163" s="2" t="s">
        <v>2969</v>
      </c>
      <c r="AH163" s="2" t="s">
        <v>86</v>
      </c>
      <c r="AI163" s="2" t="s">
        <v>2970</v>
      </c>
      <c r="AJ163" s="2" t="s">
        <v>2971</v>
      </c>
      <c r="AK163" s="2" t="s">
        <v>2972</v>
      </c>
      <c r="AL163" s="4">
        <v>2021</v>
      </c>
      <c r="AM163" s="4">
        <v>249</v>
      </c>
      <c r="AN163" s="2" t="s">
        <v>86</v>
      </c>
      <c r="AO163" s="2" t="s">
        <v>86</v>
      </c>
      <c r="AP163" s="2" t="s">
        <v>86</v>
      </c>
      <c r="AQ163" s="2" t="s">
        <v>86</v>
      </c>
      <c r="AR163" s="2" t="s">
        <v>86</v>
      </c>
      <c r="AS163" s="2" t="s">
        <v>86</v>
      </c>
      <c r="AT163" s="2" t="s">
        <v>86</v>
      </c>
      <c r="AU163" s="4">
        <v>107114</v>
      </c>
      <c r="AV163" s="2" t="s">
        <v>86</v>
      </c>
      <c r="AW163" s="2" t="s">
        <v>1592</v>
      </c>
      <c r="AX163" s="4">
        <v>9</v>
      </c>
      <c r="AY163" s="2" t="s">
        <v>2973</v>
      </c>
      <c r="AZ163" s="2" t="s">
        <v>92</v>
      </c>
      <c r="BA163" s="2" t="s">
        <v>2973</v>
      </c>
      <c r="BB163" s="2" t="s">
        <v>2974</v>
      </c>
      <c r="BC163" s="2" t="s">
        <v>86</v>
      </c>
      <c r="BD163" s="2" t="s">
        <v>86</v>
      </c>
      <c r="BE163" s="2" t="s">
        <v>86</v>
      </c>
      <c r="BF163" s="2" t="s">
        <v>86</v>
      </c>
      <c r="BG163" s="2" t="s">
        <v>95</v>
      </c>
      <c r="BH163" s="2" t="s">
        <v>2975</v>
      </c>
      <c r="BI163" s="2" t="str">
        <f>HYPERLINK("https%3A%2F%2Fwww.webofscience.com%2Fwos%2Fwoscc%2Ffull-record%2FWOS:000611891800001","View Full Record in Web of Science")</f>
        <v>View Full Record in Web of Science</v>
      </c>
    </row>
    <row r="164" spans="1:61" customFormat="1" ht="12.75" x14ac:dyDescent="0.2">
      <c r="A164" s="1">
        <v>160</v>
      </c>
      <c r="B164" s="1" t="s">
        <v>1068</v>
      </c>
      <c r="C164" s="1" t="s">
        <v>2976</v>
      </c>
      <c r="D164" s="2" t="s">
        <v>2977</v>
      </c>
      <c r="E164" s="2" t="s">
        <v>2978</v>
      </c>
      <c r="F164" s="3" t="str">
        <f>HYPERLINK("http://dx.doi.org/10.1016/j.envpol.2022.119890","http://dx.doi.org/10.1016/j.envpol.2022.119890")</f>
        <v>http://dx.doi.org/10.1016/j.envpol.2022.119890</v>
      </c>
      <c r="G164" s="2" t="s">
        <v>200</v>
      </c>
      <c r="H164" s="2" t="s">
        <v>2979</v>
      </c>
      <c r="I164" s="2" t="s">
        <v>2980</v>
      </c>
      <c r="J164" s="2" t="s">
        <v>102</v>
      </c>
      <c r="K164" s="2" t="s">
        <v>68</v>
      </c>
      <c r="L164" s="2" t="s">
        <v>2981</v>
      </c>
      <c r="M164" s="2" t="s">
        <v>2982</v>
      </c>
      <c r="N164" s="2" t="s">
        <v>2983</v>
      </c>
      <c r="O164" s="2" t="s">
        <v>2984</v>
      </c>
      <c r="P164" s="2" t="s">
        <v>2985</v>
      </c>
      <c r="Q164" s="2" t="s">
        <v>2986</v>
      </c>
      <c r="R164" s="2" t="s">
        <v>2987</v>
      </c>
      <c r="S164" s="2" t="s">
        <v>2988</v>
      </c>
      <c r="T164" s="2" t="s">
        <v>2989</v>
      </c>
      <c r="U164" s="2" t="s">
        <v>2990</v>
      </c>
      <c r="V164" s="2" t="s">
        <v>2991</v>
      </c>
      <c r="W164" s="2" t="s">
        <v>80</v>
      </c>
      <c r="X164" s="4">
        <v>78</v>
      </c>
      <c r="Y164" s="4">
        <v>6</v>
      </c>
      <c r="Z164" s="4">
        <v>6</v>
      </c>
      <c r="AA164" s="4">
        <v>14</v>
      </c>
      <c r="AB164" s="4">
        <v>42</v>
      </c>
      <c r="AC164" s="2" t="s">
        <v>114</v>
      </c>
      <c r="AD164" s="2" t="s">
        <v>115</v>
      </c>
      <c r="AE164" s="2" t="s">
        <v>116</v>
      </c>
      <c r="AF164" s="2" t="s">
        <v>117</v>
      </c>
      <c r="AG164" s="2" t="s">
        <v>118</v>
      </c>
      <c r="AH164" s="2" t="s">
        <v>86</v>
      </c>
      <c r="AI164" s="2" t="s">
        <v>119</v>
      </c>
      <c r="AJ164" s="2" t="s">
        <v>120</v>
      </c>
      <c r="AK164" s="2" t="s">
        <v>849</v>
      </c>
      <c r="AL164" s="4">
        <v>2022</v>
      </c>
      <c r="AM164" s="4">
        <v>310</v>
      </c>
      <c r="AN164" s="2" t="s">
        <v>86</v>
      </c>
      <c r="AO164" s="2" t="s">
        <v>86</v>
      </c>
      <c r="AP164" s="2" t="s">
        <v>86</v>
      </c>
      <c r="AQ164" s="2" t="s">
        <v>86</v>
      </c>
      <c r="AR164" s="2" t="s">
        <v>86</v>
      </c>
      <c r="AS164" s="2" t="s">
        <v>86</v>
      </c>
      <c r="AT164" s="2" t="s">
        <v>86</v>
      </c>
      <c r="AU164" s="4">
        <v>119890</v>
      </c>
      <c r="AV164" s="2" t="s">
        <v>86</v>
      </c>
      <c r="AW164" s="2" t="s">
        <v>1638</v>
      </c>
      <c r="AX164" s="4">
        <v>9</v>
      </c>
      <c r="AY164" s="2" t="s">
        <v>91</v>
      </c>
      <c r="AZ164" s="2" t="s">
        <v>92</v>
      </c>
      <c r="BA164" s="2" t="s">
        <v>93</v>
      </c>
      <c r="BB164" s="2" t="s">
        <v>2992</v>
      </c>
      <c r="BC164" s="4">
        <v>35932899</v>
      </c>
      <c r="BD164" s="2" t="s">
        <v>86</v>
      </c>
      <c r="BE164" s="2" t="s">
        <v>86</v>
      </c>
      <c r="BF164" s="2" t="s">
        <v>86</v>
      </c>
      <c r="BG164" s="2" t="s">
        <v>95</v>
      </c>
      <c r="BH164" s="2" t="s">
        <v>2993</v>
      </c>
      <c r="BI164" s="2" t="str">
        <f>HYPERLINK("https%3A%2F%2Fwww.webofscience.com%2Fwos%2Fwoscc%2Ffull-record%2FWOS:000858937500009","View Full Record in Web of Science")</f>
        <v>View Full Record in Web of Science</v>
      </c>
    </row>
    <row r="165" spans="1:61" customFormat="1" ht="12.75" x14ac:dyDescent="0.2">
      <c r="A165" s="1">
        <v>161</v>
      </c>
      <c r="B165" s="1" t="s">
        <v>1068</v>
      </c>
      <c r="C165" s="1" t="s">
        <v>2994</v>
      </c>
      <c r="D165" s="2" t="s">
        <v>2995</v>
      </c>
      <c r="E165" s="2" t="s">
        <v>2996</v>
      </c>
      <c r="F165" s="3" t="str">
        <f>HYPERLINK("http://dx.doi.org/10.1007/s11356-022-21911-6","http://dx.doi.org/10.1007/s11356-022-21911-6")</f>
        <v>http://dx.doi.org/10.1007/s11356-022-21911-6</v>
      </c>
      <c r="G165" s="2" t="s">
        <v>200</v>
      </c>
      <c r="H165" s="2" t="s">
        <v>2997</v>
      </c>
      <c r="I165" s="2" t="s">
        <v>2998</v>
      </c>
      <c r="J165" s="2" t="s">
        <v>67</v>
      </c>
      <c r="K165" s="2" t="s">
        <v>68</v>
      </c>
      <c r="L165" s="2" t="s">
        <v>2999</v>
      </c>
      <c r="M165" s="2" t="s">
        <v>3000</v>
      </c>
      <c r="N165" s="2" t="s">
        <v>3001</v>
      </c>
      <c r="O165" s="2" t="s">
        <v>3002</v>
      </c>
      <c r="P165" s="2" t="s">
        <v>3003</v>
      </c>
      <c r="Q165" s="2" t="s">
        <v>3004</v>
      </c>
      <c r="R165" s="2" t="s">
        <v>3005</v>
      </c>
      <c r="S165" s="2" t="s">
        <v>3006</v>
      </c>
      <c r="T165" s="2" t="s">
        <v>3007</v>
      </c>
      <c r="U165" s="2" t="s">
        <v>3008</v>
      </c>
      <c r="V165" s="2" t="s">
        <v>3009</v>
      </c>
      <c r="W165" s="2" t="s">
        <v>80</v>
      </c>
      <c r="X165" s="4">
        <v>71</v>
      </c>
      <c r="Y165" s="4">
        <v>4</v>
      </c>
      <c r="Z165" s="4">
        <v>4</v>
      </c>
      <c r="AA165" s="4">
        <v>16</v>
      </c>
      <c r="AB165" s="4">
        <v>29</v>
      </c>
      <c r="AC165" s="2" t="s">
        <v>81</v>
      </c>
      <c r="AD165" s="2" t="s">
        <v>82</v>
      </c>
      <c r="AE165" s="2" t="s">
        <v>83</v>
      </c>
      <c r="AF165" s="2" t="s">
        <v>84</v>
      </c>
      <c r="AG165" s="2" t="s">
        <v>85</v>
      </c>
      <c r="AH165" s="2" t="s">
        <v>86</v>
      </c>
      <c r="AI165" s="2" t="s">
        <v>87</v>
      </c>
      <c r="AJ165" s="2" t="s">
        <v>88</v>
      </c>
      <c r="AK165" s="2" t="s">
        <v>217</v>
      </c>
      <c r="AL165" s="4">
        <v>2022</v>
      </c>
      <c r="AM165" s="4">
        <v>29</v>
      </c>
      <c r="AN165" s="4">
        <v>58</v>
      </c>
      <c r="AO165" s="2" t="s">
        <v>86</v>
      </c>
      <c r="AP165" s="2" t="s">
        <v>86</v>
      </c>
      <c r="AQ165" s="2" t="s">
        <v>86</v>
      </c>
      <c r="AR165" s="2" t="s">
        <v>86</v>
      </c>
      <c r="AS165" s="4">
        <v>87706</v>
      </c>
      <c r="AT165" s="4">
        <v>87716</v>
      </c>
      <c r="AU165" s="2" t="s">
        <v>86</v>
      </c>
      <c r="AV165" s="2" t="s">
        <v>86</v>
      </c>
      <c r="AW165" s="2" t="s">
        <v>1982</v>
      </c>
      <c r="AX165" s="4">
        <v>11</v>
      </c>
      <c r="AY165" s="2" t="s">
        <v>91</v>
      </c>
      <c r="AZ165" s="2" t="s">
        <v>92</v>
      </c>
      <c r="BA165" s="2" t="s">
        <v>93</v>
      </c>
      <c r="BB165" s="2" t="s">
        <v>3010</v>
      </c>
      <c r="BC165" s="4">
        <v>35819676</v>
      </c>
      <c r="BD165" s="2" t="s">
        <v>86</v>
      </c>
      <c r="BE165" s="2" t="s">
        <v>86</v>
      </c>
      <c r="BF165" s="2" t="s">
        <v>86</v>
      </c>
      <c r="BG165" s="2" t="s">
        <v>95</v>
      </c>
      <c r="BH165" s="2" t="s">
        <v>3011</v>
      </c>
      <c r="BI165" s="2" t="str">
        <f>HYPERLINK("https%3A%2F%2Fwww.webofscience.com%2Fwos%2Fwoscc%2Ffull-record%2FWOS:000823362300004","View Full Record in Web of Science")</f>
        <v>View Full Record in Web of Science</v>
      </c>
    </row>
    <row r="166" spans="1:61" customFormat="1" ht="12.75" x14ac:dyDescent="0.2">
      <c r="A166" s="1">
        <v>162</v>
      </c>
      <c r="B166" s="1" t="s">
        <v>1068</v>
      </c>
      <c r="C166" s="1" t="s">
        <v>3012</v>
      </c>
      <c r="D166" s="2" t="s">
        <v>3013</v>
      </c>
      <c r="E166" s="2" t="s">
        <v>3014</v>
      </c>
      <c r="F166" s="3" t="str">
        <f>HYPERLINK("http://dx.doi.org/10.1016/j.marpolbul.2021.112840","http://dx.doi.org/10.1016/j.marpolbul.2021.112840")</f>
        <v>http://dx.doi.org/10.1016/j.marpolbul.2021.112840</v>
      </c>
      <c r="G166" s="2" t="s">
        <v>200</v>
      </c>
      <c r="H166" s="2" t="s">
        <v>3015</v>
      </c>
      <c r="I166" s="2" t="s">
        <v>3016</v>
      </c>
      <c r="J166" s="2" t="s">
        <v>424</v>
      </c>
      <c r="K166" s="2" t="s">
        <v>68</v>
      </c>
      <c r="L166" s="2" t="s">
        <v>3017</v>
      </c>
      <c r="M166" s="2" t="s">
        <v>3018</v>
      </c>
      <c r="N166" s="2" t="s">
        <v>3019</v>
      </c>
      <c r="O166" s="2" t="s">
        <v>1173</v>
      </c>
      <c r="P166" s="2" t="s">
        <v>73</v>
      </c>
      <c r="Q166" s="2" t="s">
        <v>74</v>
      </c>
      <c r="R166" s="2" t="s">
        <v>3020</v>
      </c>
      <c r="S166" s="2" t="s">
        <v>3021</v>
      </c>
      <c r="T166" s="2" t="s">
        <v>86</v>
      </c>
      <c r="U166" s="2" t="s">
        <v>86</v>
      </c>
      <c r="V166" s="2" t="s">
        <v>86</v>
      </c>
      <c r="W166" s="2" t="s">
        <v>80</v>
      </c>
      <c r="X166" s="4">
        <v>74</v>
      </c>
      <c r="Y166" s="4">
        <v>8</v>
      </c>
      <c r="Z166" s="4">
        <v>8</v>
      </c>
      <c r="AA166" s="4">
        <v>1</v>
      </c>
      <c r="AB166" s="4">
        <v>22</v>
      </c>
      <c r="AC166" s="2" t="s">
        <v>237</v>
      </c>
      <c r="AD166" s="2" t="s">
        <v>115</v>
      </c>
      <c r="AE166" s="2" t="s">
        <v>238</v>
      </c>
      <c r="AF166" s="2" t="s">
        <v>436</v>
      </c>
      <c r="AG166" s="2" t="s">
        <v>437</v>
      </c>
      <c r="AH166" s="2" t="s">
        <v>86</v>
      </c>
      <c r="AI166" s="2" t="s">
        <v>438</v>
      </c>
      <c r="AJ166" s="2" t="s">
        <v>439</v>
      </c>
      <c r="AK166" s="2" t="s">
        <v>121</v>
      </c>
      <c r="AL166" s="4">
        <v>2021</v>
      </c>
      <c r="AM166" s="4">
        <v>172</v>
      </c>
      <c r="AN166" s="2" t="s">
        <v>86</v>
      </c>
      <c r="AO166" s="2" t="s">
        <v>86</v>
      </c>
      <c r="AP166" s="2" t="s">
        <v>86</v>
      </c>
      <c r="AQ166" s="2" t="s">
        <v>86</v>
      </c>
      <c r="AR166" s="2" t="s">
        <v>86</v>
      </c>
      <c r="AS166" s="2" t="s">
        <v>86</v>
      </c>
      <c r="AT166" s="2" t="s">
        <v>86</v>
      </c>
      <c r="AU166" s="4">
        <v>112840</v>
      </c>
      <c r="AV166" s="2" t="s">
        <v>86</v>
      </c>
      <c r="AW166" s="2" t="s">
        <v>2719</v>
      </c>
      <c r="AX166" s="4">
        <v>9</v>
      </c>
      <c r="AY166" s="2" t="s">
        <v>441</v>
      </c>
      <c r="AZ166" s="2" t="s">
        <v>92</v>
      </c>
      <c r="BA166" s="2" t="s">
        <v>442</v>
      </c>
      <c r="BB166" s="2" t="s">
        <v>3022</v>
      </c>
      <c r="BC166" s="4">
        <v>34419693</v>
      </c>
      <c r="BD166" s="2" t="s">
        <v>86</v>
      </c>
      <c r="BE166" s="2" t="s">
        <v>86</v>
      </c>
      <c r="BF166" s="2" t="s">
        <v>86</v>
      </c>
      <c r="BG166" s="2" t="s">
        <v>95</v>
      </c>
      <c r="BH166" s="2" t="s">
        <v>3023</v>
      </c>
      <c r="BI166" s="2" t="str">
        <f>HYPERLINK("https%3A%2F%2Fwww.webofscience.com%2Fwos%2Fwoscc%2Ffull-record%2FWOS:000701679700002","View Full Record in Web of Science")</f>
        <v>View Full Record in Web of Science</v>
      </c>
    </row>
    <row r="167" spans="1:61" ht="12.75" x14ac:dyDescent="0.2">
      <c r="A167" s="8">
        <v>163</v>
      </c>
      <c r="B167" s="8" t="s">
        <v>1049</v>
      </c>
      <c r="C167" s="8" t="s">
        <v>3024</v>
      </c>
      <c r="D167" s="9" t="s">
        <v>3025</v>
      </c>
      <c r="E167" s="9" t="s">
        <v>3026</v>
      </c>
      <c r="F167" s="11" t="str">
        <f>HYPERLINK("http://dx.doi.org/10.3906/zoo-2003-49","http://dx.doi.org/10.3906/zoo-2003-49")</f>
        <v>http://dx.doi.org/10.3906/zoo-2003-49</v>
      </c>
      <c r="G167" s="9" t="s">
        <v>200</v>
      </c>
      <c r="H167" s="9" t="s">
        <v>1751</v>
      </c>
      <c r="I167" s="9" t="s">
        <v>1752</v>
      </c>
      <c r="J167" s="9" t="s">
        <v>2099</v>
      </c>
      <c r="K167" s="9" t="s">
        <v>68</v>
      </c>
      <c r="L167" s="9" t="s">
        <v>3027</v>
      </c>
      <c r="M167" s="9" t="s">
        <v>3028</v>
      </c>
      <c r="N167" s="9" t="s">
        <v>3029</v>
      </c>
      <c r="O167" s="9" t="s">
        <v>1173</v>
      </c>
      <c r="P167" s="9" t="s">
        <v>779</v>
      </c>
      <c r="Q167" s="9" t="s">
        <v>74</v>
      </c>
      <c r="R167" s="9" t="s">
        <v>1175</v>
      </c>
      <c r="S167" s="9" t="s">
        <v>1176</v>
      </c>
      <c r="T167" s="9" t="s">
        <v>3030</v>
      </c>
      <c r="U167" s="9" t="s">
        <v>3030</v>
      </c>
      <c r="V167" s="9" t="s">
        <v>3031</v>
      </c>
      <c r="W167" s="9" t="s">
        <v>80</v>
      </c>
      <c r="X167" s="12">
        <v>44</v>
      </c>
      <c r="Y167" s="12">
        <v>22</v>
      </c>
      <c r="Z167" s="12">
        <v>22</v>
      </c>
      <c r="AA167" s="12">
        <v>1</v>
      </c>
      <c r="AB167" s="12">
        <v>21</v>
      </c>
      <c r="AC167" s="9" t="s">
        <v>3032</v>
      </c>
      <c r="AD167" s="9" t="s">
        <v>932</v>
      </c>
      <c r="AE167" s="9" t="s">
        <v>3033</v>
      </c>
      <c r="AF167" s="9" t="s">
        <v>2109</v>
      </c>
      <c r="AG167" s="9" t="s">
        <v>2110</v>
      </c>
      <c r="AH167" s="9" t="s">
        <v>86</v>
      </c>
      <c r="AI167" s="9" t="s">
        <v>2111</v>
      </c>
      <c r="AJ167" s="9" t="s">
        <v>2112</v>
      </c>
      <c r="AK167" s="9" t="s">
        <v>86</v>
      </c>
      <c r="AL167" s="12">
        <v>2020</v>
      </c>
      <c r="AM167" s="12">
        <v>44</v>
      </c>
      <c r="AN167" s="12">
        <v>4</v>
      </c>
      <c r="AO167" s="9" t="s">
        <v>86</v>
      </c>
      <c r="AP167" s="9" t="s">
        <v>86</v>
      </c>
      <c r="AQ167" s="9" t="s">
        <v>86</v>
      </c>
      <c r="AR167" s="9" t="s">
        <v>86</v>
      </c>
      <c r="AS167" s="12">
        <v>312</v>
      </c>
      <c r="AT167" s="12">
        <v>323</v>
      </c>
      <c r="AU167" s="9" t="s">
        <v>86</v>
      </c>
      <c r="AV167" s="9" t="s">
        <v>86</v>
      </c>
      <c r="AW167" s="9" t="s">
        <v>86</v>
      </c>
      <c r="AX167" s="12">
        <v>12</v>
      </c>
      <c r="AY167" s="9" t="s">
        <v>2113</v>
      </c>
      <c r="AZ167" s="9" t="s">
        <v>92</v>
      </c>
      <c r="BA167" s="9" t="s">
        <v>2113</v>
      </c>
      <c r="BB167" s="9" t="s">
        <v>3034</v>
      </c>
      <c r="BC167" s="9" t="s">
        <v>86</v>
      </c>
      <c r="BD167" s="9" t="s">
        <v>1491</v>
      </c>
      <c r="BE167" s="9" t="s">
        <v>86</v>
      </c>
      <c r="BF167" s="9" t="s">
        <v>86</v>
      </c>
      <c r="BG167" s="9" t="s">
        <v>95</v>
      </c>
      <c r="BH167" s="9" t="s">
        <v>3035</v>
      </c>
      <c r="BI167" s="9" t="str">
        <f>HYPERLINK("https%3A%2F%2Fwww.webofscience.com%2Fwos%2Fwoscc%2Ffull-record%2FWOS:000572178200002","View Full Record in Web of Science")</f>
        <v>View Full Record in Web of Science</v>
      </c>
    </row>
    <row r="168" spans="1:61" customFormat="1" ht="12.75" x14ac:dyDescent="0.2">
      <c r="A168" s="1">
        <v>164</v>
      </c>
      <c r="B168" s="1" t="s">
        <v>1068</v>
      </c>
      <c r="C168" s="1" t="s">
        <v>3036</v>
      </c>
      <c r="D168" s="2" t="s">
        <v>3037</v>
      </c>
      <c r="E168" s="2" t="s">
        <v>86</v>
      </c>
      <c r="F168" s="2" t="s">
        <v>86</v>
      </c>
      <c r="G168" s="2" t="s">
        <v>176</v>
      </c>
      <c r="H168" s="2" t="s">
        <v>3038</v>
      </c>
      <c r="I168" s="2" t="s">
        <v>3039</v>
      </c>
      <c r="J168" s="2" t="s">
        <v>179</v>
      </c>
      <c r="K168" s="2" t="s">
        <v>68</v>
      </c>
      <c r="L168" s="2" t="s">
        <v>3040</v>
      </c>
      <c r="M168" s="2" t="s">
        <v>3041</v>
      </c>
      <c r="N168" s="2" t="s">
        <v>3042</v>
      </c>
      <c r="O168" s="2" t="s">
        <v>624</v>
      </c>
      <c r="P168" s="2" t="s">
        <v>3043</v>
      </c>
      <c r="Q168" s="2" t="s">
        <v>3044</v>
      </c>
      <c r="R168" s="2" t="s">
        <v>3045</v>
      </c>
      <c r="S168" s="2" t="s">
        <v>3046</v>
      </c>
      <c r="T168" s="2" t="s">
        <v>86</v>
      </c>
      <c r="U168" s="2" t="s">
        <v>86</v>
      </c>
      <c r="V168" s="2" t="s">
        <v>86</v>
      </c>
      <c r="W168" s="2" t="s">
        <v>188</v>
      </c>
      <c r="X168" s="4">
        <v>31</v>
      </c>
      <c r="Y168" s="4">
        <v>2</v>
      </c>
      <c r="Z168" s="4">
        <v>2</v>
      </c>
      <c r="AA168" s="4">
        <v>1</v>
      </c>
      <c r="AB168" s="4">
        <v>1</v>
      </c>
      <c r="AC168" s="2" t="s">
        <v>189</v>
      </c>
      <c r="AD168" s="2" t="s">
        <v>165</v>
      </c>
      <c r="AE168" s="2" t="s">
        <v>190</v>
      </c>
      <c r="AF168" s="2" t="s">
        <v>86</v>
      </c>
      <c r="AG168" s="2" t="s">
        <v>86</v>
      </c>
      <c r="AH168" s="2" t="s">
        <v>191</v>
      </c>
      <c r="AI168" s="2" t="s">
        <v>192</v>
      </c>
      <c r="AJ168" s="2" t="s">
        <v>86</v>
      </c>
      <c r="AK168" s="2" t="s">
        <v>86</v>
      </c>
      <c r="AL168" s="4">
        <v>2020</v>
      </c>
      <c r="AM168" s="4">
        <v>56</v>
      </c>
      <c r="AN168" s="2" t="s">
        <v>86</v>
      </c>
      <c r="AO168" s="2" t="s">
        <v>86</v>
      </c>
      <c r="AP168" s="2" t="s">
        <v>86</v>
      </c>
      <c r="AQ168" s="2" t="s">
        <v>86</v>
      </c>
      <c r="AR168" s="2" t="s">
        <v>86</v>
      </c>
      <c r="AS168" s="4">
        <v>151</v>
      </c>
      <c r="AT168" s="4">
        <v>160</v>
      </c>
      <c r="AU168" s="2" t="s">
        <v>86</v>
      </c>
      <c r="AV168" s="2" t="s">
        <v>86</v>
      </c>
      <c r="AW168" s="2" t="s">
        <v>86</v>
      </c>
      <c r="AX168" s="4">
        <v>10</v>
      </c>
      <c r="AY168" s="2" t="s">
        <v>193</v>
      </c>
      <c r="AZ168" s="2" t="s">
        <v>194</v>
      </c>
      <c r="BA168" s="2" t="s">
        <v>93</v>
      </c>
      <c r="BB168" s="2" t="s">
        <v>195</v>
      </c>
      <c r="BC168" s="2" t="s">
        <v>86</v>
      </c>
      <c r="BD168" s="2" t="s">
        <v>86</v>
      </c>
      <c r="BE168" s="2" t="s">
        <v>86</v>
      </c>
      <c r="BF168" s="2" t="s">
        <v>86</v>
      </c>
      <c r="BG168" s="2" t="s">
        <v>95</v>
      </c>
      <c r="BH168" s="2" t="s">
        <v>3047</v>
      </c>
      <c r="BI168" s="2" t="str">
        <f>HYPERLINK("https%3A%2F%2Fwww.webofscience.com%2Fwos%2Fwoscc%2Ffull-record%2FWOS:000637180200014","View Full Record in Web of Science")</f>
        <v>View Full Record in Web of Science</v>
      </c>
    </row>
    <row r="169" spans="1:61" customFormat="1" ht="12.75" x14ac:dyDescent="0.2">
      <c r="A169" s="1">
        <v>165</v>
      </c>
      <c r="B169" s="1" t="s">
        <v>1068</v>
      </c>
      <c r="C169" s="1" t="s">
        <v>3048</v>
      </c>
      <c r="D169" s="2" t="s">
        <v>3049</v>
      </c>
      <c r="E169" s="2" t="s">
        <v>3050</v>
      </c>
      <c r="F169" s="3" t="str">
        <f>HYPERLINK("http://dx.doi.org/10.1007/s11356-022-21468-4","http://dx.doi.org/10.1007/s11356-022-21468-4")</f>
        <v>http://dx.doi.org/10.1007/s11356-022-21468-4</v>
      </c>
      <c r="G169" s="2" t="s">
        <v>200</v>
      </c>
      <c r="H169" s="2" t="s">
        <v>2850</v>
      </c>
      <c r="I169" s="2" t="s">
        <v>2851</v>
      </c>
      <c r="J169" s="2" t="s">
        <v>67</v>
      </c>
      <c r="K169" s="2" t="s">
        <v>68</v>
      </c>
      <c r="L169" s="2" t="s">
        <v>3051</v>
      </c>
      <c r="M169" s="2" t="s">
        <v>3052</v>
      </c>
      <c r="N169" s="2" t="s">
        <v>2855</v>
      </c>
      <c r="O169" s="2" t="s">
        <v>559</v>
      </c>
      <c r="P169" s="2" t="s">
        <v>2856</v>
      </c>
      <c r="Q169" s="2" t="s">
        <v>561</v>
      </c>
      <c r="R169" s="2" t="s">
        <v>86</v>
      </c>
      <c r="S169" s="2" t="s">
        <v>86</v>
      </c>
      <c r="T169" s="2" t="s">
        <v>3053</v>
      </c>
      <c r="U169" s="2" t="s">
        <v>3054</v>
      </c>
      <c r="V169" s="2" t="s">
        <v>3055</v>
      </c>
      <c r="W169" s="2" t="s">
        <v>80</v>
      </c>
      <c r="X169" s="4">
        <v>64</v>
      </c>
      <c r="Y169" s="4">
        <v>5</v>
      </c>
      <c r="Z169" s="4">
        <v>5</v>
      </c>
      <c r="AA169" s="4">
        <v>15</v>
      </c>
      <c r="AB169" s="4">
        <v>37</v>
      </c>
      <c r="AC169" s="2" t="s">
        <v>81</v>
      </c>
      <c r="AD169" s="2" t="s">
        <v>82</v>
      </c>
      <c r="AE169" s="2" t="s">
        <v>83</v>
      </c>
      <c r="AF169" s="2" t="s">
        <v>84</v>
      </c>
      <c r="AG169" s="2" t="s">
        <v>85</v>
      </c>
      <c r="AH169" s="2" t="s">
        <v>86</v>
      </c>
      <c r="AI169" s="2" t="s">
        <v>87</v>
      </c>
      <c r="AJ169" s="2" t="s">
        <v>88</v>
      </c>
      <c r="AK169" s="2" t="s">
        <v>121</v>
      </c>
      <c r="AL169" s="4">
        <v>2022</v>
      </c>
      <c r="AM169" s="4">
        <v>29</v>
      </c>
      <c r="AN169" s="4">
        <v>53</v>
      </c>
      <c r="AO169" s="2" t="s">
        <v>86</v>
      </c>
      <c r="AP169" s="2" t="s">
        <v>86</v>
      </c>
      <c r="AQ169" s="2" t="s">
        <v>963</v>
      </c>
      <c r="AR169" s="2" t="s">
        <v>86</v>
      </c>
      <c r="AS169" s="4">
        <v>80775</v>
      </c>
      <c r="AT169" s="4">
        <v>80786</v>
      </c>
      <c r="AU169" s="2" t="s">
        <v>86</v>
      </c>
      <c r="AV169" s="2" t="s">
        <v>86</v>
      </c>
      <c r="AW169" s="2" t="s">
        <v>1289</v>
      </c>
      <c r="AX169" s="4">
        <v>12</v>
      </c>
      <c r="AY169" s="2" t="s">
        <v>91</v>
      </c>
      <c r="AZ169" s="2" t="s">
        <v>92</v>
      </c>
      <c r="BA169" s="2" t="s">
        <v>93</v>
      </c>
      <c r="BB169" s="2" t="s">
        <v>3056</v>
      </c>
      <c r="BC169" s="4">
        <v>35727518</v>
      </c>
      <c r="BD169" s="2" t="s">
        <v>86</v>
      </c>
      <c r="BE169" s="2" t="s">
        <v>86</v>
      </c>
      <c r="BF169" s="2" t="s">
        <v>86</v>
      </c>
      <c r="BG169" s="2" t="s">
        <v>95</v>
      </c>
      <c r="BH169" s="2" t="s">
        <v>3057</v>
      </c>
      <c r="BI169" s="2" t="str">
        <f>HYPERLINK("https%3A%2F%2Fwww.webofscience.com%2Fwos%2Fwoscc%2Ffull-record%2FWOS:000814042300020","View Full Record in Web of Science")</f>
        <v>View Full Record in Web of Science</v>
      </c>
    </row>
    <row r="170" spans="1:61" customFormat="1" ht="12.75" x14ac:dyDescent="0.2">
      <c r="A170" s="1">
        <v>166</v>
      </c>
      <c r="B170" s="1" t="s">
        <v>1068</v>
      </c>
      <c r="C170" s="1" t="s">
        <v>3058</v>
      </c>
      <c r="D170" s="2" t="s">
        <v>3059</v>
      </c>
      <c r="E170" s="2" t="s">
        <v>3060</v>
      </c>
      <c r="F170" s="3" t="str">
        <f>HYPERLINK("http://dx.doi.org/10.1038/s41598-019-48086-4","http://dx.doi.org/10.1038/s41598-019-48086-4")</f>
        <v>http://dx.doi.org/10.1038/s41598-019-48086-4</v>
      </c>
      <c r="G170" s="2" t="s">
        <v>200</v>
      </c>
      <c r="H170" s="2" t="s">
        <v>3061</v>
      </c>
      <c r="I170" s="2" t="s">
        <v>3062</v>
      </c>
      <c r="J170" s="2" t="s">
        <v>3063</v>
      </c>
      <c r="K170" s="2" t="s">
        <v>68</v>
      </c>
      <c r="L170" s="2" t="s">
        <v>86</v>
      </c>
      <c r="M170" s="2" t="s">
        <v>3064</v>
      </c>
      <c r="N170" s="2" t="s">
        <v>3065</v>
      </c>
      <c r="O170" s="2" t="s">
        <v>3066</v>
      </c>
      <c r="P170" s="2" t="s">
        <v>3067</v>
      </c>
      <c r="Q170" s="2" t="s">
        <v>3068</v>
      </c>
      <c r="R170" s="2" t="s">
        <v>3069</v>
      </c>
      <c r="S170" s="2" t="s">
        <v>3070</v>
      </c>
      <c r="T170" s="2" t="s">
        <v>3071</v>
      </c>
      <c r="U170" s="2" t="s">
        <v>3072</v>
      </c>
      <c r="V170" s="2" t="s">
        <v>3073</v>
      </c>
      <c r="W170" s="2" t="s">
        <v>80</v>
      </c>
      <c r="X170" s="4">
        <v>60</v>
      </c>
      <c r="Y170" s="4">
        <v>27</v>
      </c>
      <c r="Z170" s="4">
        <v>31</v>
      </c>
      <c r="AA170" s="4">
        <v>0</v>
      </c>
      <c r="AB170" s="4">
        <v>63</v>
      </c>
      <c r="AC170" s="2" t="s">
        <v>3074</v>
      </c>
      <c r="AD170" s="2" t="s">
        <v>605</v>
      </c>
      <c r="AE170" s="2" t="s">
        <v>3075</v>
      </c>
      <c r="AF170" s="2" t="s">
        <v>3076</v>
      </c>
      <c r="AG170" s="2" t="s">
        <v>86</v>
      </c>
      <c r="AH170" s="2" t="s">
        <v>86</v>
      </c>
      <c r="AI170" s="2" t="s">
        <v>3077</v>
      </c>
      <c r="AJ170" s="2" t="s">
        <v>3078</v>
      </c>
      <c r="AK170" s="2" t="s">
        <v>3079</v>
      </c>
      <c r="AL170" s="4">
        <v>2019</v>
      </c>
      <c r="AM170" s="4">
        <v>9</v>
      </c>
      <c r="AN170" s="2" t="s">
        <v>86</v>
      </c>
      <c r="AO170" s="2" t="s">
        <v>86</v>
      </c>
      <c r="AP170" s="2" t="s">
        <v>86</v>
      </c>
      <c r="AQ170" s="2" t="s">
        <v>86</v>
      </c>
      <c r="AR170" s="2" t="s">
        <v>86</v>
      </c>
      <c r="AS170" s="2" t="s">
        <v>86</v>
      </c>
      <c r="AT170" s="2" t="s">
        <v>86</v>
      </c>
      <c r="AU170" s="4">
        <v>11581</v>
      </c>
      <c r="AV170" s="2" t="s">
        <v>86</v>
      </c>
      <c r="AW170" s="2" t="s">
        <v>86</v>
      </c>
      <c r="AX170" s="4">
        <v>8</v>
      </c>
      <c r="AY170" s="2" t="s">
        <v>3080</v>
      </c>
      <c r="AZ170" s="2" t="s">
        <v>92</v>
      </c>
      <c r="BA170" s="2" t="s">
        <v>3081</v>
      </c>
      <c r="BB170" s="2" t="s">
        <v>3082</v>
      </c>
      <c r="BC170" s="4">
        <v>31399637</v>
      </c>
      <c r="BD170" s="2" t="s">
        <v>3083</v>
      </c>
      <c r="BE170" s="2" t="s">
        <v>86</v>
      </c>
      <c r="BF170" s="2" t="s">
        <v>86</v>
      </c>
      <c r="BG170" s="2" t="s">
        <v>95</v>
      </c>
      <c r="BH170" s="2" t="s">
        <v>3084</v>
      </c>
      <c r="BI170" s="2" t="str">
        <f>HYPERLINK("https%3A%2F%2Fwww.webofscience.com%2Fwos%2Fwoscc%2Ffull-record%2FWOS:000480233800033","View Full Record in Web of Science")</f>
        <v>View Full Record in Web of Science</v>
      </c>
    </row>
    <row r="171" spans="1:61" customFormat="1" ht="12.75" x14ac:dyDescent="0.2">
      <c r="A171" s="1">
        <v>167</v>
      </c>
      <c r="B171" s="1" t="s">
        <v>1068</v>
      </c>
      <c r="C171" s="1" t="s">
        <v>3085</v>
      </c>
      <c r="D171" s="2" t="s">
        <v>3086</v>
      </c>
      <c r="E171" s="2" t="s">
        <v>86</v>
      </c>
      <c r="F171" s="2" t="s">
        <v>86</v>
      </c>
      <c r="G171" s="2" t="s">
        <v>176</v>
      </c>
      <c r="H171" s="2" t="s">
        <v>3087</v>
      </c>
      <c r="I171" s="2" t="s">
        <v>3088</v>
      </c>
      <c r="J171" s="2" t="s">
        <v>179</v>
      </c>
      <c r="K171" s="2" t="s">
        <v>68</v>
      </c>
      <c r="L171" s="2" t="s">
        <v>3089</v>
      </c>
      <c r="M171" s="2" t="s">
        <v>3090</v>
      </c>
      <c r="N171" s="2" t="s">
        <v>3091</v>
      </c>
      <c r="O171" s="2" t="s">
        <v>3092</v>
      </c>
      <c r="P171" s="2" t="s">
        <v>3093</v>
      </c>
      <c r="Q171" s="2" t="s">
        <v>3094</v>
      </c>
      <c r="R171" s="2" t="s">
        <v>3095</v>
      </c>
      <c r="S171" s="2" t="s">
        <v>86</v>
      </c>
      <c r="T171" s="2" t="s">
        <v>3096</v>
      </c>
      <c r="U171" s="2" t="s">
        <v>3097</v>
      </c>
      <c r="V171" s="2" t="s">
        <v>3098</v>
      </c>
      <c r="W171" s="2" t="s">
        <v>188</v>
      </c>
      <c r="X171" s="4">
        <v>31</v>
      </c>
      <c r="Y171" s="4">
        <v>2</v>
      </c>
      <c r="Z171" s="4">
        <v>2</v>
      </c>
      <c r="AA171" s="4">
        <v>0</v>
      </c>
      <c r="AB171" s="4">
        <v>1</v>
      </c>
      <c r="AC171" s="2" t="s">
        <v>189</v>
      </c>
      <c r="AD171" s="2" t="s">
        <v>165</v>
      </c>
      <c r="AE171" s="2" t="s">
        <v>190</v>
      </c>
      <c r="AF171" s="2" t="s">
        <v>86</v>
      </c>
      <c r="AG171" s="2" t="s">
        <v>86</v>
      </c>
      <c r="AH171" s="2" t="s">
        <v>191</v>
      </c>
      <c r="AI171" s="2" t="s">
        <v>192</v>
      </c>
      <c r="AJ171" s="2" t="s">
        <v>86</v>
      </c>
      <c r="AK171" s="2" t="s">
        <v>86</v>
      </c>
      <c r="AL171" s="4">
        <v>2020</v>
      </c>
      <c r="AM171" s="4">
        <v>56</v>
      </c>
      <c r="AN171" s="2" t="s">
        <v>86</v>
      </c>
      <c r="AO171" s="2" t="s">
        <v>86</v>
      </c>
      <c r="AP171" s="2" t="s">
        <v>86</v>
      </c>
      <c r="AQ171" s="2" t="s">
        <v>86</v>
      </c>
      <c r="AR171" s="2" t="s">
        <v>86</v>
      </c>
      <c r="AS171" s="4">
        <v>49</v>
      </c>
      <c r="AT171" s="4">
        <v>62</v>
      </c>
      <c r="AU171" s="2" t="s">
        <v>86</v>
      </c>
      <c r="AV171" s="2" t="s">
        <v>86</v>
      </c>
      <c r="AW171" s="2" t="s">
        <v>86</v>
      </c>
      <c r="AX171" s="4">
        <v>14</v>
      </c>
      <c r="AY171" s="2" t="s">
        <v>193</v>
      </c>
      <c r="AZ171" s="2" t="s">
        <v>194</v>
      </c>
      <c r="BA171" s="2" t="s">
        <v>93</v>
      </c>
      <c r="BB171" s="2" t="s">
        <v>195</v>
      </c>
      <c r="BC171" s="2" t="s">
        <v>86</v>
      </c>
      <c r="BD171" s="2" t="s">
        <v>86</v>
      </c>
      <c r="BE171" s="2" t="s">
        <v>86</v>
      </c>
      <c r="BF171" s="2" t="s">
        <v>86</v>
      </c>
      <c r="BG171" s="2" t="s">
        <v>95</v>
      </c>
      <c r="BH171" s="2" t="s">
        <v>3099</v>
      </c>
      <c r="BI171" s="2" t="str">
        <f>HYPERLINK("https%3A%2F%2Fwww.webofscience.com%2Fwos%2Fwoscc%2Ffull-record%2FWOS:000637180200006","View Full Record in Web of Science")</f>
        <v>View Full Record in Web of Science</v>
      </c>
    </row>
    <row r="172" spans="1:61" customFormat="1" ht="12.75" x14ac:dyDescent="0.2">
      <c r="A172" s="1">
        <v>168</v>
      </c>
      <c r="B172" s="1" t="s">
        <v>1068</v>
      </c>
      <c r="C172" s="1" t="s">
        <v>3100</v>
      </c>
      <c r="D172" s="2" t="s">
        <v>3101</v>
      </c>
      <c r="E172" s="2" t="s">
        <v>3102</v>
      </c>
      <c r="F172" s="3" t="str">
        <f>HYPERLINK("http://dx.doi.org/10.12841/wood.1644-3985.375.05","http://dx.doi.org/10.12841/wood.1644-3985.375.05")</f>
        <v>http://dx.doi.org/10.12841/wood.1644-3985.375.05</v>
      </c>
      <c r="G172" s="2" t="s">
        <v>200</v>
      </c>
      <c r="H172" s="2" t="s">
        <v>3103</v>
      </c>
      <c r="I172" s="2" t="s">
        <v>3104</v>
      </c>
      <c r="J172" s="2" t="s">
        <v>3105</v>
      </c>
      <c r="K172" s="2" t="s">
        <v>68</v>
      </c>
      <c r="L172" s="2" t="s">
        <v>3106</v>
      </c>
      <c r="M172" s="2" t="s">
        <v>3107</v>
      </c>
      <c r="N172" s="2" t="s">
        <v>3108</v>
      </c>
      <c r="O172" s="2" t="s">
        <v>3109</v>
      </c>
      <c r="P172" s="2" t="s">
        <v>3110</v>
      </c>
      <c r="Q172" s="2" t="s">
        <v>3111</v>
      </c>
      <c r="R172" s="2" t="s">
        <v>3112</v>
      </c>
      <c r="S172" s="2" t="s">
        <v>3113</v>
      </c>
      <c r="T172" s="2" t="s">
        <v>3114</v>
      </c>
      <c r="U172" s="2" t="s">
        <v>3115</v>
      </c>
      <c r="V172" s="2" t="s">
        <v>3116</v>
      </c>
      <c r="W172" s="2" t="s">
        <v>80</v>
      </c>
      <c r="X172" s="4">
        <v>43</v>
      </c>
      <c r="Y172" s="4">
        <v>1</v>
      </c>
      <c r="Z172" s="4">
        <v>1</v>
      </c>
      <c r="AA172" s="4">
        <v>0</v>
      </c>
      <c r="AB172" s="4">
        <v>6</v>
      </c>
      <c r="AC172" s="2" t="s">
        <v>3117</v>
      </c>
      <c r="AD172" s="2" t="s">
        <v>3118</v>
      </c>
      <c r="AE172" s="2" t="s">
        <v>3119</v>
      </c>
      <c r="AF172" s="2" t="s">
        <v>3120</v>
      </c>
      <c r="AG172" s="2" t="s">
        <v>86</v>
      </c>
      <c r="AH172" s="2" t="s">
        <v>86</v>
      </c>
      <c r="AI172" s="2" t="s">
        <v>3105</v>
      </c>
      <c r="AJ172" s="2" t="s">
        <v>3121</v>
      </c>
      <c r="AK172" s="2" t="s">
        <v>86</v>
      </c>
      <c r="AL172" s="4">
        <v>2021</v>
      </c>
      <c r="AM172" s="4">
        <v>64</v>
      </c>
      <c r="AN172" s="4">
        <v>208</v>
      </c>
      <c r="AO172" s="2" t="s">
        <v>86</v>
      </c>
      <c r="AP172" s="2" t="s">
        <v>86</v>
      </c>
      <c r="AQ172" s="2" t="s">
        <v>86</v>
      </c>
      <c r="AR172" s="2" t="s">
        <v>86</v>
      </c>
      <c r="AS172" s="2" t="s">
        <v>86</v>
      </c>
      <c r="AT172" s="2" t="s">
        <v>86</v>
      </c>
      <c r="AU172" s="2" t="s">
        <v>86</v>
      </c>
      <c r="AV172" s="2" t="s">
        <v>86</v>
      </c>
      <c r="AW172" s="2" t="s">
        <v>86</v>
      </c>
      <c r="AX172" s="4">
        <v>15</v>
      </c>
      <c r="AY172" s="2" t="s">
        <v>3122</v>
      </c>
      <c r="AZ172" s="2" t="s">
        <v>92</v>
      </c>
      <c r="BA172" s="2" t="s">
        <v>3123</v>
      </c>
      <c r="BB172" s="2" t="s">
        <v>3124</v>
      </c>
      <c r="BC172" s="2" t="s">
        <v>86</v>
      </c>
      <c r="BD172" s="2" t="s">
        <v>86</v>
      </c>
      <c r="BE172" s="2" t="s">
        <v>86</v>
      </c>
      <c r="BF172" s="2" t="s">
        <v>86</v>
      </c>
      <c r="BG172" s="2" t="s">
        <v>95</v>
      </c>
      <c r="BH172" s="2" t="s">
        <v>3125</v>
      </c>
      <c r="BI172" s="2" t="str">
        <f>HYPERLINK("https%3A%2F%2Fwww.webofscience.com%2Fwos%2Fwoscc%2Ffull-record%2FWOS:000720058300002","View Full Record in Web of Science")</f>
        <v>View Full Record in Web of Science</v>
      </c>
    </row>
    <row r="173" spans="1:61" customFormat="1" ht="12.75" x14ac:dyDescent="0.2">
      <c r="A173" s="1">
        <v>169</v>
      </c>
      <c r="B173" s="1" t="s">
        <v>1068</v>
      </c>
      <c r="C173" s="1" t="s">
        <v>3126</v>
      </c>
      <c r="D173" s="2" t="s">
        <v>3127</v>
      </c>
      <c r="E173" s="2" t="s">
        <v>3128</v>
      </c>
      <c r="F173" s="3" t="str">
        <f>HYPERLINK("http://dx.doi.org/10.4194/1303-2712-v20_3_04","http://dx.doi.org/10.4194/1303-2712-v20_3_04")</f>
        <v>http://dx.doi.org/10.4194/1303-2712-v20_3_04</v>
      </c>
      <c r="G173" s="2" t="s">
        <v>200</v>
      </c>
      <c r="H173" s="2" t="s">
        <v>3129</v>
      </c>
      <c r="I173" s="2" t="s">
        <v>3130</v>
      </c>
      <c r="J173" s="2" t="s">
        <v>620</v>
      </c>
      <c r="K173" s="2" t="s">
        <v>68</v>
      </c>
      <c r="L173" s="2" t="s">
        <v>3131</v>
      </c>
      <c r="M173" s="2" t="s">
        <v>3132</v>
      </c>
      <c r="N173" s="2" t="s">
        <v>3133</v>
      </c>
      <c r="O173" s="2" t="s">
        <v>3134</v>
      </c>
      <c r="P173" s="2" t="s">
        <v>1890</v>
      </c>
      <c r="Q173" s="2" t="s">
        <v>913</v>
      </c>
      <c r="R173" s="2" t="s">
        <v>3135</v>
      </c>
      <c r="S173" s="2" t="s">
        <v>3136</v>
      </c>
      <c r="T173" s="2" t="s">
        <v>1893</v>
      </c>
      <c r="U173" s="2" t="s">
        <v>1894</v>
      </c>
      <c r="V173" s="2" t="s">
        <v>3137</v>
      </c>
      <c r="W173" s="2" t="s">
        <v>80</v>
      </c>
      <c r="X173" s="4">
        <v>49</v>
      </c>
      <c r="Y173" s="4">
        <v>43</v>
      </c>
      <c r="Z173" s="4">
        <v>44</v>
      </c>
      <c r="AA173" s="4">
        <v>1</v>
      </c>
      <c r="AB173" s="4">
        <v>256</v>
      </c>
      <c r="AC173" s="2" t="s">
        <v>629</v>
      </c>
      <c r="AD173" s="2" t="s">
        <v>630</v>
      </c>
      <c r="AE173" s="2" t="s">
        <v>631</v>
      </c>
      <c r="AF173" s="2" t="s">
        <v>632</v>
      </c>
      <c r="AG173" s="2" t="s">
        <v>633</v>
      </c>
      <c r="AH173" s="2" t="s">
        <v>86</v>
      </c>
      <c r="AI173" s="2" t="s">
        <v>634</v>
      </c>
      <c r="AJ173" s="2" t="s">
        <v>635</v>
      </c>
      <c r="AK173" s="2" t="s">
        <v>366</v>
      </c>
      <c r="AL173" s="4">
        <v>2020</v>
      </c>
      <c r="AM173" s="4">
        <v>20</v>
      </c>
      <c r="AN173" s="4">
        <v>3</v>
      </c>
      <c r="AO173" s="2" t="s">
        <v>86</v>
      </c>
      <c r="AP173" s="2" t="s">
        <v>86</v>
      </c>
      <c r="AQ173" s="2" t="s">
        <v>86</v>
      </c>
      <c r="AR173" s="2" t="s">
        <v>86</v>
      </c>
      <c r="AS173" s="4">
        <v>197</v>
      </c>
      <c r="AT173" s="4">
        <v>205</v>
      </c>
      <c r="AU173" s="2" t="s">
        <v>86</v>
      </c>
      <c r="AV173" s="2" t="s">
        <v>86</v>
      </c>
      <c r="AW173" s="2" t="s">
        <v>86</v>
      </c>
      <c r="AX173" s="4">
        <v>9</v>
      </c>
      <c r="AY173" s="2" t="s">
        <v>319</v>
      </c>
      <c r="AZ173" s="2" t="s">
        <v>92</v>
      </c>
      <c r="BA173" s="2" t="s">
        <v>319</v>
      </c>
      <c r="BB173" s="2" t="s">
        <v>3138</v>
      </c>
      <c r="BC173" s="2" t="s">
        <v>86</v>
      </c>
      <c r="BD173" s="2" t="s">
        <v>321</v>
      </c>
      <c r="BE173" s="2" t="s">
        <v>86</v>
      </c>
      <c r="BF173" s="2" t="s">
        <v>86</v>
      </c>
      <c r="BG173" s="2" t="s">
        <v>95</v>
      </c>
      <c r="BH173" s="2" t="s">
        <v>3139</v>
      </c>
      <c r="BI173" s="2" t="str">
        <f>HYPERLINK("https%3A%2F%2Fwww.webofscience.com%2Fwos%2Fwoscc%2Ffull-record%2FWOS:000486924400004","View Full Record in Web of Science")</f>
        <v>View Full Record in Web of Science</v>
      </c>
    </row>
    <row r="174" spans="1:61" customFormat="1" ht="12.75" x14ac:dyDescent="0.2">
      <c r="A174" s="1">
        <v>170</v>
      </c>
      <c r="B174" s="1" t="s">
        <v>1068</v>
      </c>
      <c r="C174" s="1" t="s">
        <v>3140</v>
      </c>
      <c r="D174" s="2" t="s">
        <v>3141</v>
      </c>
      <c r="E174" s="2" t="s">
        <v>3142</v>
      </c>
      <c r="F174" s="3" t="str">
        <f>HYPERLINK("http://dx.doi.org/10.1080/08827508.2010.483362","http://dx.doi.org/10.1080/08827508.2010.483362")</f>
        <v>http://dx.doi.org/10.1080/08827508.2010.483362</v>
      </c>
      <c r="G174" s="2" t="s">
        <v>200</v>
      </c>
      <c r="H174" s="2" t="s">
        <v>3143</v>
      </c>
      <c r="I174" s="2" t="s">
        <v>3144</v>
      </c>
      <c r="J174" s="2" t="s">
        <v>3145</v>
      </c>
      <c r="K174" s="2" t="s">
        <v>68</v>
      </c>
      <c r="L174" s="2" t="s">
        <v>3146</v>
      </c>
      <c r="M174" s="2" t="s">
        <v>3147</v>
      </c>
      <c r="N174" s="2" t="s">
        <v>3148</v>
      </c>
      <c r="O174" s="2" t="s">
        <v>3149</v>
      </c>
      <c r="P174" s="2" t="s">
        <v>3150</v>
      </c>
      <c r="Q174" s="2" t="s">
        <v>3151</v>
      </c>
      <c r="R174" s="2" t="s">
        <v>3152</v>
      </c>
      <c r="S174" s="2" t="s">
        <v>3153</v>
      </c>
      <c r="T174" s="2" t="s">
        <v>86</v>
      </c>
      <c r="U174" s="2" t="s">
        <v>86</v>
      </c>
      <c r="V174" s="2" t="s">
        <v>86</v>
      </c>
      <c r="W174" s="2" t="s">
        <v>80</v>
      </c>
      <c r="X174" s="4">
        <v>12</v>
      </c>
      <c r="Y174" s="4">
        <v>23</v>
      </c>
      <c r="Z174" s="4">
        <v>24</v>
      </c>
      <c r="AA174" s="4">
        <v>3</v>
      </c>
      <c r="AB174" s="4">
        <v>19</v>
      </c>
      <c r="AC174" s="2" t="s">
        <v>260</v>
      </c>
      <c r="AD174" s="2" t="s">
        <v>261</v>
      </c>
      <c r="AE174" s="2" t="s">
        <v>262</v>
      </c>
      <c r="AF174" s="2" t="s">
        <v>3154</v>
      </c>
      <c r="AG174" s="2" t="s">
        <v>3155</v>
      </c>
      <c r="AH174" s="2" t="s">
        <v>86</v>
      </c>
      <c r="AI174" s="2" t="s">
        <v>3156</v>
      </c>
      <c r="AJ174" s="2" t="s">
        <v>3157</v>
      </c>
      <c r="AK174" s="2" t="s">
        <v>86</v>
      </c>
      <c r="AL174" s="4">
        <v>2010</v>
      </c>
      <c r="AM174" s="4">
        <v>31</v>
      </c>
      <c r="AN174" s="4">
        <v>4</v>
      </c>
      <c r="AO174" s="2" t="s">
        <v>86</v>
      </c>
      <c r="AP174" s="2" t="s">
        <v>86</v>
      </c>
      <c r="AQ174" s="2" t="s">
        <v>86</v>
      </c>
      <c r="AR174" s="2" t="s">
        <v>86</v>
      </c>
      <c r="AS174" s="4">
        <v>214</v>
      </c>
      <c r="AT174" s="4">
        <v>223</v>
      </c>
      <c r="AU174" s="2" t="s">
        <v>3158</v>
      </c>
      <c r="AV174" s="2" t="s">
        <v>86</v>
      </c>
      <c r="AW174" s="2" t="s">
        <v>86</v>
      </c>
      <c r="AX174" s="4">
        <v>10</v>
      </c>
      <c r="AY174" s="2" t="s">
        <v>3159</v>
      </c>
      <c r="AZ174" s="2" t="s">
        <v>92</v>
      </c>
      <c r="BA174" s="2" t="s">
        <v>3159</v>
      </c>
      <c r="BB174" s="2" t="s">
        <v>3160</v>
      </c>
      <c r="BC174" s="2" t="s">
        <v>86</v>
      </c>
      <c r="BD174" s="2" t="s">
        <v>86</v>
      </c>
      <c r="BE174" s="2" t="s">
        <v>86</v>
      </c>
      <c r="BF174" s="2" t="s">
        <v>86</v>
      </c>
      <c r="BG174" s="2" t="s">
        <v>95</v>
      </c>
      <c r="BH174" s="2" t="s">
        <v>3161</v>
      </c>
      <c r="BI174" s="2" t="str">
        <f>HYPERLINK("https%3A%2F%2Fwww.webofscience.com%2Fwos%2Fwoscc%2Ffull-record%2FWOS:000282582800003","View Full Record in Web of Science")</f>
        <v>View Full Record in Web of Science</v>
      </c>
    </row>
    <row r="175" spans="1:61" customFormat="1" ht="12.75" x14ac:dyDescent="0.2">
      <c r="A175" s="1">
        <v>171</v>
      </c>
      <c r="B175" s="1" t="s">
        <v>1068</v>
      </c>
      <c r="C175" s="1" t="s">
        <v>3162</v>
      </c>
      <c r="D175" s="2" t="s">
        <v>3163</v>
      </c>
      <c r="E175" s="2" t="s">
        <v>3164</v>
      </c>
      <c r="F175" s="3" t="str">
        <f>HYPERLINK("http://dx.doi.org/10.3390/biology11101470","http://dx.doi.org/10.3390/biology11101470")</f>
        <v>http://dx.doi.org/10.3390/biology11101470</v>
      </c>
      <c r="G175" s="2" t="s">
        <v>200</v>
      </c>
      <c r="H175" s="2" t="s">
        <v>3165</v>
      </c>
      <c r="I175" s="2" t="s">
        <v>3166</v>
      </c>
      <c r="J175" s="2" t="s">
        <v>3167</v>
      </c>
      <c r="K175" s="2" t="s">
        <v>68</v>
      </c>
      <c r="L175" s="2" t="s">
        <v>3168</v>
      </c>
      <c r="M175" s="2" t="s">
        <v>3169</v>
      </c>
      <c r="N175" s="2" t="s">
        <v>3170</v>
      </c>
      <c r="O175" s="2" t="s">
        <v>3171</v>
      </c>
      <c r="P175" s="2" t="s">
        <v>3172</v>
      </c>
      <c r="Q175" s="2" t="s">
        <v>3173</v>
      </c>
      <c r="R175" s="2" t="s">
        <v>3174</v>
      </c>
      <c r="S175" s="2" t="s">
        <v>3175</v>
      </c>
      <c r="T175" s="2" t="s">
        <v>86</v>
      </c>
      <c r="U175" s="2" t="s">
        <v>86</v>
      </c>
      <c r="V175" s="2" t="s">
        <v>86</v>
      </c>
      <c r="W175" s="2" t="s">
        <v>80</v>
      </c>
      <c r="X175" s="4">
        <v>125</v>
      </c>
      <c r="Y175" s="4">
        <v>3</v>
      </c>
      <c r="Z175" s="4">
        <v>3</v>
      </c>
      <c r="AA175" s="4">
        <v>22</v>
      </c>
      <c r="AB175" s="4">
        <v>33</v>
      </c>
      <c r="AC175" s="2" t="s">
        <v>211</v>
      </c>
      <c r="AD175" s="2" t="s">
        <v>212</v>
      </c>
      <c r="AE175" s="2" t="s">
        <v>213</v>
      </c>
      <c r="AF175" s="2" t="s">
        <v>86</v>
      </c>
      <c r="AG175" s="2" t="s">
        <v>3176</v>
      </c>
      <c r="AH175" s="2" t="s">
        <v>86</v>
      </c>
      <c r="AI175" s="2" t="s">
        <v>3167</v>
      </c>
      <c r="AJ175" s="2" t="s">
        <v>3177</v>
      </c>
      <c r="AK175" s="2" t="s">
        <v>873</v>
      </c>
      <c r="AL175" s="4">
        <v>2022</v>
      </c>
      <c r="AM175" s="4">
        <v>11</v>
      </c>
      <c r="AN175" s="4">
        <v>10</v>
      </c>
      <c r="AO175" s="2" t="s">
        <v>86</v>
      </c>
      <c r="AP175" s="2" t="s">
        <v>86</v>
      </c>
      <c r="AQ175" s="2" t="s">
        <v>86</v>
      </c>
      <c r="AR175" s="2" t="s">
        <v>86</v>
      </c>
      <c r="AS175" s="2" t="s">
        <v>86</v>
      </c>
      <c r="AT175" s="2" t="s">
        <v>86</v>
      </c>
      <c r="AU175" s="4">
        <v>1470</v>
      </c>
      <c r="AV175" s="2" t="s">
        <v>86</v>
      </c>
      <c r="AW175" s="2" t="s">
        <v>86</v>
      </c>
      <c r="AX175" s="4">
        <v>22</v>
      </c>
      <c r="AY175" s="2" t="s">
        <v>3178</v>
      </c>
      <c r="AZ175" s="2" t="s">
        <v>92</v>
      </c>
      <c r="BA175" s="2" t="s">
        <v>3179</v>
      </c>
      <c r="BB175" s="2" t="s">
        <v>3180</v>
      </c>
      <c r="BC175" s="4">
        <v>36290374</v>
      </c>
      <c r="BD175" s="2" t="s">
        <v>723</v>
      </c>
      <c r="BE175" s="2" t="s">
        <v>86</v>
      </c>
      <c r="BF175" s="2" t="s">
        <v>86</v>
      </c>
      <c r="BG175" s="2" t="s">
        <v>95</v>
      </c>
      <c r="BH175" s="2" t="s">
        <v>3181</v>
      </c>
      <c r="BI175" s="2" t="str">
        <f>HYPERLINK("https%3A%2F%2Fwww.webofscience.com%2Fwos%2Fwoscc%2Ffull-record%2FWOS:000872273300001","View Full Record in Web of Science")</f>
        <v>View Full Record in Web of Science</v>
      </c>
    </row>
    <row r="176" spans="1:61" customFormat="1" ht="12.75" x14ac:dyDescent="0.2">
      <c r="A176" s="1">
        <v>172</v>
      </c>
      <c r="B176" s="1" t="s">
        <v>1068</v>
      </c>
      <c r="C176" s="1" t="s">
        <v>3182</v>
      </c>
      <c r="D176" s="2" t="s">
        <v>3183</v>
      </c>
      <c r="E176" s="2" t="s">
        <v>86</v>
      </c>
      <c r="F176" s="2" t="s">
        <v>86</v>
      </c>
      <c r="G176" s="2" t="s">
        <v>176</v>
      </c>
      <c r="H176" s="2" t="s">
        <v>3184</v>
      </c>
      <c r="I176" s="2" t="s">
        <v>3185</v>
      </c>
      <c r="J176" s="2" t="s">
        <v>179</v>
      </c>
      <c r="K176" s="2" t="s">
        <v>68</v>
      </c>
      <c r="L176" s="2" t="s">
        <v>3186</v>
      </c>
      <c r="M176" s="2" t="s">
        <v>3187</v>
      </c>
      <c r="N176" s="2" t="s">
        <v>3188</v>
      </c>
      <c r="O176" s="2" t="s">
        <v>3189</v>
      </c>
      <c r="P176" s="2" t="s">
        <v>3190</v>
      </c>
      <c r="Q176" s="2" t="s">
        <v>3191</v>
      </c>
      <c r="R176" s="2" t="s">
        <v>3192</v>
      </c>
      <c r="S176" s="2" t="s">
        <v>3193</v>
      </c>
      <c r="T176" s="2" t="s">
        <v>86</v>
      </c>
      <c r="U176" s="2" t="s">
        <v>86</v>
      </c>
      <c r="V176" s="2" t="s">
        <v>86</v>
      </c>
      <c r="W176" s="2" t="s">
        <v>188</v>
      </c>
      <c r="X176" s="4">
        <v>54</v>
      </c>
      <c r="Y176" s="4">
        <v>1</v>
      </c>
      <c r="Z176" s="4">
        <v>1</v>
      </c>
      <c r="AA176" s="4">
        <v>1</v>
      </c>
      <c r="AB176" s="4">
        <v>3</v>
      </c>
      <c r="AC176" s="2" t="s">
        <v>189</v>
      </c>
      <c r="AD176" s="2" t="s">
        <v>165</v>
      </c>
      <c r="AE176" s="2" t="s">
        <v>190</v>
      </c>
      <c r="AF176" s="2" t="s">
        <v>86</v>
      </c>
      <c r="AG176" s="2" t="s">
        <v>86</v>
      </c>
      <c r="AH176" s="2" t="s">
        <v>191</v>
      </c>
      <c r="AI176" s="2" t="s">
        <v>192</v>
      </c>
      <c r="AJ176" s="2" t="s">
        <v>86</v>
      </c>
      <c r="AK176" s="2" t="s">
        <v>86</v>
      </c>
      <c r="AL176" s="4">
        <v>2020</v>
      </c>
      <c r="AM176" s="4">
        <v>56</v>
      </c>
      <c r="AN176" s="2" t="s">
        <v>86</v>
      </c>
      <c r="AO176" s="2" t="s">
        <v>86</v>
      </c>
      <c r="AP176" s="2" t="s">
        <v>86</v>
      </c>
      <c r="AQ176" s="2" t="s">
        <v>86</v>
      </c>
      <c r="AR176" s="2" t="s">
        <v>86</v>
      </c>
      <c r="AS176" s="4">
        <v>236</v>
      </c>
      <c r="AT176" s="4">
        <v>246</v>
      </c>
      <c r="AU176" s="2" t="s">
        <v>86</v>
      </c>
      <c r="AV176" s="2" t="s">
        <v>86</v>
      </c>
      <c r="AW176" s="2" t="s">
        <v>86</v>
      </c>
      <c r="AX176" s="4">
        <v>11</v>
      </c>
      <c r="AY176" s="2" t="s">
        <v>193</v>
      </c>
      <c r="AZ176" s="2" t="s">
        <v>194</v>
      </c>
      <c r="BA176" s="2" t="s">
        <v>93</v>
      </c>
      <c r="BB176" s="2" t="s">
        <v>195</v>
      </c>
      <c r="BC176" s="2" t="s">
        <v>86</v>
      </c>
      <c r="BD176" s="2" t="s">
        <v>86</v>
      </c>
      <c r="BE176" s="2" t="s">
        <v>86</v>
      </c>
      <c r="BF176" s="2" t="s">
        <v>86</v>
      </c>
      <c r="BG176" s="2" t="s">
        <v>95</v>
      </c>
      <c r="BH176" s="2" t="s">
        <v>3194</v>
      </c>
      <c r="BI176" s="2" t="str">
        <f>HYPERLINK("https%3A%2F%2Fwww.webofscience.com%2Fwos%2Fwoscc%2Ffull-record%2FWOS:000637180200021","View Full Record in Web of Science")</f>
        <v>View Full Record in Web of Science</v>
      </c>
    </row>
    <row r="177" spans="1:61" customFormat="1" ht="12.75" x14ac:dyDescent="0.2">
      <c r="A177" s="1">
        <v>173</v>
      </c>
      <c r="B177" s="1" t="s">
        <v>1068</v>
      </c>
      <c r="C177" s="1" t="s">
        <v>3195</v>
      </c>
      <c r="D177" s="2" t="s">
        <v>3196</v>
      </c>
      <c r="E177" s="2" t="s">
        <v>3197</v>
      </c>
      <c r="F177" s="3" t="str">
        <f>HYPERLINK("http://dx.doi.org/10.1016/j.marpolbul.2020.111943","http://dx.doi.org/10.1016/j.marpolbul.2020.111943")</f>
        <v>http://dx.doi.org/10.1016/j.marpolbul.2020.111943</v>
      </c>
      <c r="G177" s="2" t="s">
        <v>200</v>
      </c>
      <c r="H177" s="2" t="s">
        <v>2958</v>
      </c>
      <c r="I177" s="2" t="s">
        <v>2959</v>
      </c>
      <c r="J177" s="2" t="s">
        <v>424</v>
      </c>
      <c r="K177" s="2" t="s">
        <v>68</v>
      </c>
      <c r="L177" s="2" t="s">
        <v>3198</v>
      </c>
      <c r="M177" s="2" t="s">
        <v>86</v>
      </c>
      <c r="N177" s="2" t="s">
        <v>2963</v>
      </c>
      <c r="O177" s="2" t="s">
        <v>309</v>
      </c>
      <c r="P177" s="2" t="s">
        <v>2964</v>
      </c>
      <c r="Q177" s="2" t="s">
        <v>2965</v>
      </c>
      <c r="R177" s="2" t="s">
        <v>2966</v>
      </c>
      <c r="S177" s="2" t="s">
        <v>2967</v>
      </c>
      <c r="T177" s="2" t="s">
        <v>86</v>
      </c>
      <c r="U177" s="2" t="s">
        <v>86</v>
      </c>
      <c r="V177" s="2" t="s">
        <v>86</v>
      </c>
      <c r="W177" s="2" t="s">
        <v>80</v>
      </c>
      <c r="X177" s="4">
        <v>53</v>
      </c>
      <c r="Y177" s="4">
        <v>11</v>
      </c>
      <c r="Z177" s="4">
        <v>12</v>
      </c>
      <c r="AA177" s="4">
        <v>1</v>
      </c>
      <c r="AB177" s="4">
        <v>10</v>
      </c>
      <c r="AC177" s="2" t="s">
        <v>237</v>
      </c>
      <c r="AD177" s="2" t="s">
        <v>115</v>
      </c>
      <c r="AE177" s="2" t="s">
        <v>238</v>
      </c>
      <c r="AF177" s="2" t="s">
        <v>436</v>
      </c>
      <c r="AG177" s="2" t="s">
        <v>437</v>
      </c>
      <c r="AH177" s="2" t="s">
        <v>86</v>
      </c>
      <c r="AI177" s="2" t="s">
        <v>438</v>
      </c>
      <c r="AJ177" s="2" t="s">
        <v>439</v>
      </c>
      <c r="AK177" s="2" t="s">
        <v>146</v>
      </c>
      <c r="AL177" s="4">
        <v>2021</v>
      </c>
      <c r="AM177" s="4">
        <v>163</v>
      </c>
      <c r="AN177" s="2" t="s">
        <v>86</v>
      </c>
      <c r="AO177" s="2" t="s">
        <v>86</v>
      </c>
      <c r="AP177" s="2" t="s">
        <v>86</v>
      </c>
      <c r="AQ177" s="2" t="s">
        <v>86</v>
      </c>
      <c r="AR177" s="2" t="s">
        <v>86</v>
      </c>
      <c r="AS177" s="2" t="s">
        <v>86</v>
      </c>
      <c r="AT177" s="2" t="s">
        <v>86</v>
      </c>
      <c r="AU177" s="4">
        <v>111943</v>
      </c>
      <c r="AV177" s="2" t="s">
        <v>86</v>
      </c>
      <c r="AW177" s="2" t="s">
        <v>86</v>
      </c>
      <c r="AX177" s="4">
        <v>9</v>
      </c>
      <c r="AY177" s="2" t="s">
        <v>441</v>
      </c>
      <c r="AZ177" s="2" t="s">
        <v>92</v>
      </c>
      <c r="BA177" s="2" t="s">
        <v>442</v>
      </c>
      <c r="BB177" s="2" t="s">
        <v>3199</v>
      </c>
      <c r="BC177" s="4">
        <v>33352428</v>
      </c>
      <c r="BD177" s="2" t="s">
        <v>86</v>
      </c>
      <c r="BE177" s="2" t="s">
        <v>86</v>
      </c>
      <c r="BF177" s="2" t="s">
        <v>86</v>
      </c>
      <c r="BG177" s="2" t="s">
        <v>95</v>
      </c>
      <c r="BH177" s="2" t="s">
        <v>3200</v>
      </c>
      <c r="BI177" s="2" t="str">
        <f>HYPERLINK("https%3A%2F%2Fwww.webofscience.com%2Fwos%2Fwoscc%2Ffull-record%2FWOS:000620267400001","View Full Record in Web of Science")</f>
        <v>View Full Record in Web of Science</v>
      </c>
    </row>
    <row r="178" spans="1:61" customFormat="1" ht="12.75" x14ac:dyDescent="0.2">
      <c r="A178" s="1">
        <v>174</v>
      </c>
      <c r="B178" s="1" t="s">
        <v>1068</v>
      </c>
      <c r="C178" s="1" t="s">
        <v>3201</v>
      </c>
      <c r="D178" s="2" t="s">
        <v>3202</v>
      </c>
      <c r="E178" s="2" t="s">
        <v>86</v>
      </c>
      <c r="F178" s="2" t="s">
        <v>86</v>
      </c>
      <c r="G178" s="2" t="s">
        <v>200</v>
      </c>
      <c r="H178" s="2" t="s">
        <v>3203</v>
      </c>
      <c r="I178" s="2" t="s">
        <v>3204</v>
      </c>
      <c r="J178" s="2" t="s">
        <v>1918</v>
      </c>
      <c r="K178" s="2" t="s">
        <v>68</v>
      </c>
      <c r="L178" s="2" t="s">
        <v>3205</v>
      </c>
      <c r="M178" s="2" t="s">
        <v>3206</v>
      </c>
      <c r="N178" s="2" t="s">
        <v>3207</v>
      </c>
      <c r="O178" s="2" t="s">
        <v>3208</v>
      </c>
      <c r="P178" s="2" t="s">
        <v>3209</v>
      </c>
      <c r="Q178" s="2" t="s">
        <v>1924</v>
      </c>
      <c r="R178" s="2" t="s">
        <v>86</v>
      </c>
      <c r="S178" s="2" t="s">
        <v>86</v>
      </c>
      <c r="T178" s="2" t="s">
        <v>3210</v>
      </c>
      <c r="U178" s="2" t="s">
        <v>434</v>
      </c>
      <c r="V178" s="2" t="s">
        <v>3211</v>
      </c>
      <c r="W178" s="2" t="s">
        <v>80</v>
      </c>
      <c r="X178" s="4">
        <v>43</v>
      </c>
      <c r="Y178" s="4">
        <v>3</v>
      </c>
      <c r="Z178" s="4">
        <v>4</v>
      </c>
      <c r="AA178" s="4">
        <v>8</v>
      </c>
      <c r="AB178" s="4">
        <v>45</v>
      </c>
      <c r="AC178" s="2" t="s">
        <v>1927</v>
      </c>
      <c r="AD178" s="2" t="s">
        <v>1928</v>
      </c>
      <c r="AE178" s="2" t="s">
        <v>1929</v>
      </c>
      <c r="AF178" s="2" t="s">
        <v>1930</v>
      </c>
      <c r="AG178" s="2" t="s">
        <v>1931</v>
      </c>
      <c r="AH178" s="2" t="s">
        <v>86</v>
      </c>
      <c r="AI178" s="2" t="s">
        <v>1932</v>
      </c>
      <c r="AJ178" s="2" t="s">
        <v>1933</v>
      </c>
      <c r="AK178" s="2" t="s">
        <v>86</v>
      </c>
      <c r="AL178" s="4">
        <v>2019</v>
      </c>
      <c r="AM178" s="4">
        <v>28</v>
      </c>
      <c r="AN178" s="4">
        <v>8</v>
      </c>
      <c r="AO178" s="2" t="s">
        <v>86</v>
      </c>
      <c r="AP178" s="2" t="s">
        <v>86</v>
      </c>
      <c r="AQ178" s="2" t="s">
        <v>86</v>
      </c>
      <c r="AR178" s="2" t="s">
        <v>86</v>
      </c>
      <c r="AS178" s="4">
        <v>6146</v>
      </c>
      <c r="AT178" s="4">
        <v>6152</v>
      </c>
      <c r="AU178" s="2" t="s">
        <v>86</v>
      </c>
      <c r="AV178" s="2" t="s">
        <v>86</v>
      </c>
      <c r="AW178" s="2" t="s">
        <v>86</v>
      </c>
      <c r="AX178" s="4">
        <v>7</v>
      </c>
      <c r="AY178" s="2" t="s">
        <v>91</v>
      </c>
      <c r="AZ178" s="2" t="s">
        <v>92</v>
      </c>
      <c r="BA178" s="2" t="s">
        <v>93</v>
      </c>
      <c r="BB178" s="2" t="s">
        <v>3212</v>
      </c>
      <c r="BC178" s="2" t="s">
        <v>86</v>
      </c>
      <c r="BD178" s="2" t="s">
        <v>86</v>
      </c>
      <c r="BE178" s="2" t="s">
        <v>86</v>
      </c>
      <c r="BF178" s="2" t="s">
        <v>86</v>
      </c>
      <c r="BG178" s="2" t="s">
        <v>95</v>
      </c>
      <c r="BH178" s="2" t="s">
        <v>3213</v>
      </c>
      <c r="BI178" s="2" t="str">
        <f>HYPERLINK("https%3A%2F%2Fwww.webofscience.com%2Fwos%2Fwoscc%2Ffull-record%2FWOS:000480511400053","View Full Record in Web of Science")</f>
        <v>View Full Record in Web of Science</v>
      </c>
    </row>
    <row r="179" spans="1:61" customFormat="1" ht="12.75" x14ac:dyDescent="0.2">
      <c r="A179" s="1">
        <v>175</v>
      </c>
      <c r="B179" s="1" t="s">
        <v>1068</v>
      </c>
      <c r="C179" s="1" t="s">
        <v>3214</v>
      </c>
      <c r="D179" s="2" t="s">
        <v>3215</v>
      </c>
      <c r="E179" s="2" t="s">
        <v>3216</v>
      </c>
      <c r="F179" s="3" t="str">
        <f>HYPERLINK("http://dx.doi.org/10.1016/j.wasman.2020.01.032","http://dx.doi.org/10.1016/j.wasman.2020.01.032")</f>
        <v>http://dx.doi.org/10.1016/j.wasman.2020.01.032</v>
      </c>
      <c r="G179" s="2" t="s">
        <v>200</v>
      </c>
      <c r="H179" s="2" t="s">
        <v>3217</v>
      </c>
      <c r="I179" s="2" t="s">
        <v>3218</v>
      </c>
      <c r="J179" s="2" t="s">
        <v>3219</v>
      </c>
      <c r="K179" s="2" t="s">
        <v>68</v>
      </c>
      <c r="L179" s="2" t="s">
        <v>3220</v>
      </c>
      <c r="M179" s="2" t="s">
        <v>3221</v>
      </c>
      <c r="N179" s="2" t="s">
        <v>3222</v>
      </c>
      <c r="O179" s="2" t="s">
        <v>183</v>
      </c>
      <c r="P179" s="2" t="s">
        <v>3223</v>
      </c>
      <c r="Q179" s="2" t="s">
        <v>3044</v>
      </c>
      <c r="R179" s="2" t="s">
        <v>3224</v>
      </c>
      <c r="S179" s="2" t="s">
        <v>3225</v>
      </c>
      <c r="T179" s="2" t="s">
        <v>86</v>
      </c>
      <c r="U179" s="2" t="s">
        <v>86</v>
      </c>
      <c r="V179" s="2" t="s">
        <v>86</v>
      </c>
      <c r="W179" s="2" t="s">
        <v>80</v>
      </c>
      <c r="X179" s="4">
        <v>60</v>
      </c>
      <c r="Y179" s="4">
        <v>40</v>
      </c>
      <c r="Z179" s="4">
        <v>41</v>
      </c>
      <c r="AA179" s="4">
        <v>2</v>
      </c>
      <c r="AB179" s="4">
        <v>17</v>
      </c>
      <c r="AC179" s="2" t="s">
        <v>237</v>
      </c>
      <c r="AD179" s="2" t="s">
        <v>115</v>
      </c>
      <c r="AE179" s="2" t="s">
        <v>238</v>
      </c>
      <c r="AF179" s="2" t="s">
        <v>3226</v>
      </c>
      <c r="AG179" s="2" t="s">
        <v>3227</v>
      </c>
      <c r="AH179" s="2" t="s">
        <v>86</v>
      </c>
      <c r="AI179" s="2" t="s">
        <v>3228</v>
      </c>
      <c r="AJ179" s="2" t="s">
        <v>3229</v>
      </c>
      <c r="AK179" s="2" t="s">
        <v>1950</v>
      </c>
      <c r="AL179" s="4">
        <v>2020</v>
      </c>
      <c r="AM179" s="4">
        <v>105</v>
      </c>
      <c r="AN179" s="2" t="s">
        <v>86</v>
      </c>
      <c r="AO179" s="2" t="s">
        <v>86</v>
      </c>
      <c r="AP179" s="2" t="s">
        <v>86</v>
      </c>
      <c r="AQ179" s="2" t="s">
        <v>86</v>
      </c>
      <c r="AR179" s="2" t="s">
        <v>86</v>
      </c>
      <c r="AS179" s="4">
        <v>139</v>
      </c>
      <c r="AT179" s="4">
        <v>147</v>
      </c>
      <c r="AU179" s="2" t="s">
        <v>86</v>
      </c>
      <c r="AV179" s="2" t="s">
        <v>86</v>
      </c>
      <c r="AW179" s="2" t="s">
        <v>86</v>
      </c>
      <c r="AX179" s="4">
        <v>9</v>
      </c>
      <c r="AY179" s="2" t="s">
        <v>567</v>
      </c>
      <c r="AZ179" s="2" t="s">
        <v>92</v>
      </c>
      <c r="BA179" s="2" t="s">
        <v>568</v>
      </c>
      <c r="BB179" s="2" t="s">
        <v>3230</v>
      </c>
      <c r="BC179" s="4">
        <v>32062408</v>
      </c>
      <c r="BD179" s="2" t="s">
        <v>86</v>
      </c>
      <c r="BE179" s="2" t="s">
        <v>86</v>
      </c>
      <c r="BF179" s="2" t="s">
        <v>86</v>
      </c>
      <c r="BG179" s="2" t="s">
        <v>95</v>
      </c>
      <c r="BH179" s="2" t="s">
        <v>3231</v>
      </c>
      <c r="BI179" s="2" t="str">
        <f>HYPERLINK("https%3A%2F%2Fwww.webofscience.com%2Fwos%2Fwoscc%2Ffull-record%2FWOS:000520856700015","View Full Record in Web of Science")</f>
        <v>View Full Record in Web of Science</v>
      </c>
    </row>
    <row r="180" spans="1:61" customFormat="1" ht="12.75" x14ac:dyDescent="0.2">
      <c r="A180" s="1">
        <v>176</v>
      </c>
      <c r="B180" s="1" t="s">
        <v>1068</v>
      </c>
      <c r="C180" s="1" t="s">
        <v>3232</v>
      </c>
      <c r="D180" s="2" t="s">
        <v>3233</v>
      </c>
      <c r="E180" s="2" t="s">
        <v>3234</v>
      </c>
      <c r="F180" s="3" t="str">
        <f>HYPERLINK("http://dx.doi.org/10.1016/j.wasman.2013.05.006","http://dx.doi.org/10.1016/j.wasman.2013.05.006")</f>
        <v>http://dx.doi.org/10.1016/j.wasman.2013.05.006</v>
      </c>
      <c r="G180" s="2" t="s">
        <v>200</v>
      </c>
      <c r="H180" s="2" t="s">
        <v>3235</v>
      </c>
      <c r="I180" s="2" t="s">
        <v>3236</v>
      </c>
      <c r="J180" s="2" t="s">
        <v>3219</v>
      </c>
      <c r="K180" s="2" t="s">
        <v>68</v>
      </c>
      <c r="L180" s="2" t="s">
        <v>3237</v>
      </c>
      <c r="M180" s="2" t="s">
        <v>3238</v>
      </c>
      <c r="N180" s="2" t="s">
        <v>3239</v>
      </c>
      <c r="O180" s="2" t="s">
        <v>3149</v>
      </c>
      <c r="P180" s="2" t="s">
        <v>3240</v>
      </c>
      <c r="Q180" s="2" t="s">
        <v>3151</v>
      </c>
      <c r="R180" s="2" t="s">
        <v>3241</v>
      </c>
      <c r="S180" s="2" t="s">
        <v>3242</v>
      </c>
      <c r="T180" s="2" t="s">
        <v>86</v>
      </c>
      <c r="U180" s="2" t="s">
        <v>86</v>
      </c>
      <c r="V180" s="2" t="s">
        <v>86</v>
      </c>
      <c r="W180" s="2" t="s">
        <v>80</v>
      </c>
      <c r="X180" s="4">
        <v>21</v>
      </c>
      <c r="Y180" s="4">
        <v>17</v>
      </c>
      <c r="Z180" s="4">
        <v>18</v>
      </c>
      <c r="AA180" s="4">
        <v>5</v>
      </c>
      <c r="AB180" s="4">
        <v>31</v>
      </c>
      <c r="AC180" s="2" t="s">
        <v>237</v>
      </c>
      <c r="AD180" s="2" t="s">
        <v>115</v>
      </c>
      <c r="AE180" s="2" t="s">
        <v>238</v>
      </c>
      <c r="AF180" s="2" t="s">
        <v>3226</v>
      </c>
      <c r="AG180" s="2" t="s">
        <v>3227</v>
      </c>
      <c r="AH180" s="2" t="s">
        <v>86</v>
      </c>
      <c r="AI180" s="2" t="s">
        <v>3228</v>
      </c>
      <c r="AJ180" s="2" t="s">
        <v>3229</v>
      </c>
      <c r="AK180" s="2" t="s">
        <v>440</v>
      </c>
      <c r="AL180" s="4">
        <v>2013</v>
      </c>
      <c r="AM180" s="4">
        <v>33</v>
      </c>
      <c r="AN180" s="4">
        <v>9</v>
      </c>
      <c r="AO180" s="2" t="s">
        <v>86</v>
      </c>
      <c r="AP180" s="2" t="s">
        <v>86</v>
      </c>
      <c r="AQ180" s="2" t="s">
        <v>86</v>
      </c>
      <c r="AR180" s="2" t="s">
        <v>86</v>
      </c>
      <c r="AS180" s="4">
        <v>1795</v>
      </c>
      <c r="AT180" s="4">
        <v>1799</v>
      </c>
      <c r="AU180" s="2" t="s">
        <v>86</v>
      </c>
      <c r="AV180" s="2" t="s">
        <v>86</v>
      </c>
      <c r="AW180" s="2" t="s">
        <v>86</v>
      </c>
      <c r="AX180" s="4">
        <v>5</v>
      </c>
      <c r="AY180" s="2" t="s">
        <v>567</v>
      </c>
      <c r="AZ180" s="2" t="s">
        <v>92</v>
      </c>
      <c r="BA180" s="2" t="s">
        <v>568</v>
      </c>
      <c r="BB180" s="2" t="s">
        <v>3243</v>
      </c>
      <c r="BC180" s="4">
        <v>23747135</v>
      </c>
      <c r="BD180" s="2" t="s">
        <v>86</v>
      </c>
      <c r="BE180" s="2" t="s">
        <v>86</v>
      </c>
      <c r="BF180" s="2" t="s">
        <v>86</v>
      </c>
      <c r="BG180" s="2" t="s">
        <v>95</v>
      </c>
      <c r="BH180" s="2" t="s">
        <v>3244</v>
      </c>
      <c r="BI180" s="2" t="str">
        <f>HYPERLINK("https%3A%2F%2Fwww.webofscience.com%2Fwos%2Fwoscc%2Ffull-record%2FWOS:000324005300002","View Full Record in Web of Science")</f>
        <v>View Full Record in Web of Science</v>
      </c>
    </row>
    <row r="181" spans="1:61" customFormat="1" ht="12.75" x14ac:dyDescent="0.2">
      <c r="A181" s="1">
        <v>177</v>
      </c>
      <c r="B181" s="1" t="s">
        <v>1068</v>
      </c>
      <c r="C181" s="1" t="s">
        <v>3245</v>
      </c>
      <c r="D181" s="2" t="s">
        <v>3246</v>
      </c>
      <c r="E181" s="2" t="s">
        <v>3247</v>
      </c>
      <c r="F181" s="3" t="str">
        <f>HYPERLINK("http://dx.doi.org/10.1007/s11270-023-06104-2","http://dx.doi.org/10.1007/s11270-023-06104-2")</f>
        <v>http://dx.doi.org/10.1007/s11270-023-06104-2</v>
      </c>
      <c r="G181" s="2" t="s">
        <v>200</v>
      </c>
      <c r="H181" s="2" t="s">
        <v>3248</v>
      </c>
      <c r="I181" s="2" t="s">
        <v>3249</v>
      </c>
      <c r="J181" s="2" t="s">
        <v>1122</v>
      </c>
      <c r="K181" s="2" t="s">
        <v>68</v>
      </c>
      <c r="L181" s="2" t="s">
        <v>3250</v>
      </c>
      <c r="M181" s="2" t="s">
        <v>3251</v>
      </c>
      <c r="N181" s="2" t="s">
        <v>3252</v>
      </c>
      <c r="O181" s="2" t="s">
        <v>3253</v>
      </c>
      <c r="P181" s="2" t="s">
        <v>3254</v>
      </c>
      <c r="Q181" s="2" t="s">
        <v>3255</v>
      </c>
      <c r="R181" s="2" t="s">
        <v>86</v>
      </c>
      <c r="S181" s="2" t="s">
        <v>86</v>
      </c>
      <c r="T181" s="2" t="s">
        <v>3256</v>
      </c>
      <c r="U181" s="2" t="s">
        <v>1894</v>
      </c>
      <c r="V181" s="2" t="s">
        <v>3257</v>
      </c>
      <c r="W181" s="2" t="s">
        <v>80</v>
      </c>
      <c r="X181" s="4">
        <v>35</v>
      </c>
      <c r="Y181" s="4">
        <v>1</v>
      </c>
      <c r="Z181" s="4">
        <v>1</v>
      </c>
      <c r="AA181" s="4">
        <v>9</v>
      </c>
      <c r="AB181" s="4">
        <v>9</v>
      </c>
      <c r="AC181" s="2" t="s">
        <v>1130</v>
      </c>
      <c r="AD181" s="2" t="s">
        <v>1131</v>
      </c>
      <c r="AE181" s="2" t="s">
        <v>1132</v>
      </c>
      <c r="AF181" s="2" t="s">
        <v>1133</v>
      </c>
      <c r="AG181" s="2" t="s">
        <v>1134</v>
      </c>
      <c r="AH181" s="2" t="s">
        <v>86</v>
      </c>
      <c r="AI181" s="2" t="s">
        <v>1135</v>
      </c>
      <c r="AJ181" s="2" t="s">
        <v>1136</v>
      </c>
      <c r="AK181" s="2" t="s">
        <v>146</v>
      </c>
      <c r="AL181" s="4">
        <v>2023</v>
      </c>
      <c r="AM181" s="4">
        <v>234</v>
      </c>
      <c r="AN181" s="4">
        <v>2</v>
      </c>
      <c r="AO181" s="2" t="s">
        <v>86</v>
      </c>
      <c r="AP181" s="2" t="s">
        <v>86</v>
      </c>
      <c r="AQ181" s="2" t="s">
        <v>86</v>
      </c>
      <c r="AR181" s="2" t="s">
        <v>86</v>
      </c>
      <c r="AS181" s="2" t="s">
        <v>86</v>
      </c>
      <c r="AT181" s="2" t="s">
        <v>86</v>
      </c>
      <c r="AU181" s="4">
        <v>88</v>
      </c>
      <c r="AV181" s="2" t="s">
        <v>86</v>
      </c>
      <c r="AW181" s="2" t="s">
        <v>86</v>
      </c>
      <c r="AX181" s="4">
        <v>17</v>
      </c>
      <c r="AY181" s="2" t="s">
        <v>1137</v>
      </c>
      <c r="AZ181" s="2" t="s">
        <v>92</v>
      </c>
      <c r="BA181" s="2" t="s">
        <v>1138</v>
      </c>
      <c r="BB181" s="2" t="s">
        <v>3258</v>
      </c>
      <c r="BC181" s="2" t="s">
        <v>86</v>
      </c>
      <c r="BD181" s="2" t="s">
        <v>86</v>
      </c>
      <c r="BE181" s="2" t="s">
        <v>86</v>
      </c>
      <c r="BF181" s="2" t="s">
        <v>86</v>
      </c>
      <c r="BG181" s="2" t="s">
        <v>95</v>
      </c>
      <c r="BH181" s="2" t="s">
        <v>3259</v>
      </c>
      <c r="BI181" s="2" t="str">
        <f>HYPERLINK("https%3A%2F%2Fwww.webofscience.com%2Fwos%2Fwoscc%2Ffull-record%2FWOS:000918518700001","View Full Record in Web of Science")</f>
        <v>View Full Record in Web of Science</v>
      </c>
    </row>
    <row r="182" spans="1:61" customFormat="1" ht="12.75" x14ac:dyDescent="0.2">
      <c r="A182" s="1">
        <v>178</v>
      </c>
      <c r="B182" s="1" t="s">
        <v>1068</v>
      </c>
      <c r="C182" s="1" t="s">
        <v>3260</v>
      </c>
      <c r="D182" s="2" t="s">
        <v>3261</v>
      </c>
      <c r="E182" s="2" t="s">
        <v>3262</v>
      </c>
      <c r="F182" s="3" t="str">
        <f>HYPERLINK("http://dx.doi.org/10.1007/s11356-022-19750-6","http://dx.doi.org/10.1007/s11356-022-19750-6")</f>
        <v>http://dx.doi.org/10.1007/s11356-022-19750-6</v>
      </c>
      <c r="G182" s="2" t="s">
        <v>200</v>
      </c>
      <c r="H182" s="2" t="s">
        <v>3263</v>
      </c>
      <c r="I182" s="2" t="s">
        <v>3264</v>
      </c>
      <c r="J182" s="2" t="s">
        <v>67</v>
      </c>
      <c r="K182" s="2" t="s">
        <v>68</v>
      </c>
      <c r="L182" s="2" t="s">
        <v>3265</v>
      </c>
      <c r="M182" s="2" t="s">
        <v>3266</v>
      </c>
      <c r="N182" s="2" t="s">
        <v>3267</v>
      </c>
      <c r="O182" s="2" t="s">
        <v>183</v>
      </c>
      <c r="P182" s="2" t="s">
        <v>3268</v>
      </c>
      <c r="Q182" s="2" t="s">
        <v>3269</v>
      </c>
      <c r="R182" s="2" t="s">
        <v>3270</v>
      </c>
      <c r="S182" s="2" t="s">
        <v>3271</v>
      </c>
      <c r="T182" s="2" t="s">
        <v>86</v>
      </c>
      <c r="U182" s="2" t="s">
        <v>86</v>
      </c>
      <c r="V182" s="2" t="s">
        <v>86</v>
      </c>
      <c r="W182" s="2" t="s">
        <v>80</v>
      </c>
      <c r="X182" s="4">
        <v>53</v>
      </c>
      <c r="Y182" s="4">
        <v>2</v>
      </c>
      <c r="Z182" s="4">
        <v>2</v>
      </c>
      <c r="AA182" s="4">
        <v>2</v>
      </c>
      <c r="AB182" s="4">
        <v>18</v>
      </c>
      <c r="AC182" s="2" t="s">
        <v>81</v>
      </c>
      <c r="AD182" s="2" t="s">
        <v>82</v>
      </c>
      <c r="AE182" s="2" t="s">
        <v>83</v>
      </c>
      <c r="AF182" s="2" t="s">
        <v>84</v>
      </c>
      <c r="AG182" s="2" t="s">
        <v>85</v>
      </c>
      <c r="AH182" s="2" t="s">
        <v>86</v>
      </c>
      <c r="AI182" s="2" t="s">
        <v>87</v>
      </c>
      <c r="AJ182" s="2" t="s">
        <v>88</v>
      </c>
      <c r="AK182" s="2" t="s">
        <v>636</v>
      </c>
      <c r="AL182" s="4">
        <v>2022</v>
      </c>
      <c r="AM182" s="4">
        <v>29</v>
      </c>
      <c r="AN182" s="4">
        <v>36</v>
      </c>
      <c r="AO182" s="2" t="s">
        <v>86</v>
      </c>
      <c r="AP182" s="2" t="s">
        <v>86</v>
      </c>
      <c r="AQ182" s="2" t="s">
        <v>86</v>
      </c>
      <c r="AR182" s="2" t="s">
        <v>86</v>
      </c>
      <c r="AS182" s="4">
        <v>54596</v>
      </c>
      <c r="AT182" s="4">
        <v>54605</v>
      </c>
      <c r="AU182" s="2" t="s">
        <v>86</v>
      </c>
      <c r="AV182" s="2" t="s">
        <v>86</v>
      </c>
      <c r="AW182" s="2" t="s">
        <v>1238</v>
      </c>
      <c r="AX182" s="4">
        <v>10</v>
      </c>
      <c r="AY182" s="2" t="s">
        <v>91</v>
      </c>
      <c r="AZ182" s="2" t="s">
        <v>92</v>
      </c>
      <c r="BA182" s="2" t="s">
        <v>93</v>
      </c>
      <c r="BB182" s="2" t="s">
        <v>3272</v>
      </c>
      <c r="BC182" s="4">
        <v>35306657</v>
      </c>
      <c r="BD182" s="2" t="s">
        <v>3273</v>
      </c>
      <c r="BE182" s="2" t="s">
        <v>86</v>
      </c>
      <c r="BF182" s="2" t="s">
        <v>86</v>
      </c>
      <c r="BG182" s="2" t="s">
        <v>95</v>
      </c>
      <c r="BH182" s="2" t="s">
        <v>3274</v>
      </c>
      <c r="BI182" s="2" t="str">
        <f>HYPERLINK("https%3A%2F%2Fwww.webofscience.com%2Fwos%2Fwoscc%2Ffull-record%2FWOS:000770744900014","View Full Record in Web of Science")</f>
        <v>View Full Record in Web of Science</v>
      </c>
    </row>
    <row r="183" spans="1:61" customFormat="1" ht="12.75" x14ac:dyDescent="0.2">
      <c r="A183" s="1">
        <v>179</v>
      </c>
      <c r="B183" s="1" t="s">
        <v>1068</v>
      </c>
      <c r="C183" s="1" t="s">
        <v>3275</v>
      </c>
      <c r="D183" s="2" t="s">
        <v>3276</v>
      </c>
      <c r="E183" s="2" t="s">
        <v>3277</v>
      </c>
      <c r="F183" s="3" t="str">
        <f>HYPERLINK("http://dx.doi.org/10.1016/j.marenvres.2012.12.006","http://dx.doi.org/10.1016/j.marenvres.2012.12.006")</f>
        <v>http://dx.doi.org/10.1016/j.marenvres.2012.12.006</v>
      </c>
      <c r="G183" s="2" t="s">
        <v>200</v>
      </c>
      <c r="H183" s="2" t="s">
        <v>3278</v>
      </c>
      <c r="I183" s="2" t="s">
        <v>3279</v>
      </c>
      <c r="J183" s="2" t="s">
        <v>1696</v>
      </c>
      <c r="K183" s="2" t="s">
        <v>68</v>
      </c>
      <c r="L183" s="2" t="s">
        <v>3280</v>
      </c>
      <c r="M183" s="2" t="s">
        <v>3281</v>
      </c>
      <c r="N183" s="2" t="s">
        <v>3282</v>
      </c>
      <c r="O183" s="2" t="s">
        <v>3283</v>
      </c>
      <c r="P183" s="2" t="s">
        <v>3284</v>
      </c>
      <c r="Q183" s="2" t="s">
        <v>3285</v>
      </c>
      <c r="R183" s="2" t="s">
        <v>3286</v>
      </c>
      <c r="S183" s="2" t="s">
        <v>3287</v>
      </c>
      <c r="T183" s="2" t="s">
        <v>3288</v>
      </c>
      <c r="U183" s="2" t="s">
        <v>3289</v>
      </c>
      <c r="V183" s="2" t="s">
        <v>3290</v>
      </c>
      <c r="W183" s="2" t="s">
        <v>80</v>
      </c>
      <c r="X183" s="4">
        <v>42</v>
      </c>
      <c r="Y183" s="4">
        <v>158</v>
      </c>
      <c r="Z183" s="4">
        <v>163</v>
      </c>
      <c r="AA183" s="4">
        <v>2</v>
      </c>
      <c r="AB183" s="4">
        <v>148</v>
      </c>
      <c r="AC183" s="2" t="s">
        <v>114</v>
      </c>
      <c r="AD183" s="2" t="s">
        <v>115</v>
      </c>
      <c r="AE183" s="2" t="s">
        <v>116</v>
      </c>
      <c r="AF183" s="2" t="s">
        <v>1708</v>
      </c>
      <c r="AG183" s="2" t="s">
        <v>1709</v>
      </c>
      <c r="AH183" s="2" t="s">
        <v>86</v>
      </c>
      <c r="AI183" s="2" t="s">
        <v>1710</v>
      </c>
      <c r="AJ183" s="2" t="s">
        <v>1711</v>
      </c>
      <c r="AK183" s="2" t="s">
        <v>89</v>
      </c>
      <c r="AL183" s="4">
        <v>2013</v>
      </c>
      <c r="AM183" s="4">
        <v>85</v>
      </c>
      <c r="AN183" s="2" t="s">
        <v>86</v>
      </c>
      <c r="AO183" s="2" t="s">
        <v>86</v>
      </c>
      <c r="AP183" s="2" t="s">
        <v>86</v>
      </c>
      <c r="AQ183" s="2" t="s">
        <v>86</v>
      </c>
      <c r="AR183" s="2" t="s">
        <v>86</v>
      </c>
      <c r="AS183" s="4">
        <v>21</v>
      </c>
      <c r="AT183" s="4">
        <v>28</v>
      </c>
      <c r="AU183" s="2" t="s">
        <v>86</v>
      </c>
      <c r="AV183" s="2" t="s">
        <v>86</v>
      </c>
      <c r="AW183" s="2" t="s">
        <v>86</v>
      </c>
      <c r="AX183" s="4">
        <v>8</v>
      </c>
      <c r="AY183" s="2" t="s">
        <v>1712</v>
      </c>
      <c r="AZ183" s="2" t="s">
        <v>92</v>
      </c>
      <c r="BA183" s="2" t="s">
        <v>1713</v>
      </c>
      <c r="BB183" s="2" t="s">
        <v>3291</v>
      </c>
      <c r="BC183" s="4">
        <v>23290790</v>
      </c>
      <c r="BD183" s="2" t="s">
        <v>86</v>
      </c>
      <c r="BE183" s="2" t="s">
        <v>86</v>
      </c>
      <c r="BF183" s="2" t="s">
        <v>86</v>
      </c>
      <c r="BG183" s="2" t="s">
        <v>95</v>
      </c>
      <c r="BH183" s="2" t="s">
        <v>3292</v>
      </c>
      <c r="BI183" s="2" t="str">
        <f>HYPERLINK("https%3A%2F%2Fwww.webofscience.com%2Fwos%2Fwoscc%2Ffull-record%2FWOS:000316504300003","View Full Record in Web of Science")</f>
        <v>View Full Record in Web of Science</v>
      </c>
    </row>
    <row r="184" spans="1:61" customFormat="1" ht="12.75" x14ac:dyDescent="0.2">
      <c r="A184" s="1">
        <v>180</v>
      </c>
      <c r="B184" s="1" t="s">
        <v>1068</v>
      </c>
      <c r="C184" s="1" t="s">
        <v>3293</v>
      </c>
      <c r="D184" s="2" t="s">
        <v>3294</v>
      </c>
      <c r="E184" s="2" t="s">
        <v>3295</v>
      </c>
      <c r="F184" s="3" t="str">
        <f>HYPERLINK("http://dx.doi.org/10.1177/0734242X19838619","http://dx.doi.org/10.1177/0734242X19838619")</f>
        <v>http://dx.doi.org/10.1177/0734242X19838619</v>
      </c>
      <c r="G184" s="2" t="s">
        <v>200</v>
      </c>
      <c r="H184" s="2" t="s">
        <v>3296</v>
      </c>
      <c r="I184" s="2" t="s">
        <v>3297</v>
      </c>
      <c r="J184" s="2" t="s">
        <v>3298</v>
      </c>
      <c r="K184" s="2" t="s">
        <v>68</v>
      </c>
      <c r="L184" s="2" t="s">
        <v>3299</v>
      </c>
      <c r="M184" s="2" t="s">
        <v>3300</v>
      </c>
      <c r="N184" s="2" t="s">
        <v>3301</v>
      </c>
      <c r="O184" s="2" t="s">
        <v>3302</v>
      </c>
      <c r="P184" s="2" t="s">
        <v>3303</v>
      </c>
      <c r="Q184" s="2" t="s">
        <v>3304</v>
      </c>
      <c r="R184" s="2" t="s">
        <v>3305</v>
      </c>
      <c r="S184" s="2" t="s">
        <v>3306</v>
      </c>
      <c r="T184" s="2" t="s">
        <v>3307</v>
      </c>
      <c r="U184" s="2" t="s">
        <v>3307</v>
      </c>
      <c r="V184" s="2" t="s">
        <v>3308</v>
      </c>
      <c r="W184" s="2" t="s">
        <v>80</v>
      </c>
      <c r="X184" s="4">
        <v>36</v>
      </c>
      <c r="Y184" s="4">
        <v>2</v>
      </c>
      <c r="Z184" s="4">
        <v>2</v>
      </c>
      <c r="AA184" s="4">
        <v>1</v>
      </c>
      <c r="AB184" s="4">
        <v>30</v>
      </c>
      <c r="AC184" s="2" t="s">
        <v>3309</v>
      </c>
      <c r="AD184" s="2" t="s">
        <v>605</v>
      </c>
      <c r="AE184" s="2" t="s">
        <v>3310</v>
      </c>
      <c r="AF184" s="2" t="s">
        <v>3311</v>
      </c>
      <c r="AG184" s="2" t="s">
        <v>3312</v>
      </c>
      <c r="AH184" s="2" t="s">
        <v>86</v>
      </c>
      <c r="AI184" s="2" t="s">
        <v>3313</v>
      </c>
      <c r="AJ184" s="2" t="s">
        <v>3314</v>
      </c>
      <c r="AK184" s="2" t="s">
        <v>342</v>
      </c>
      <c r="AL184" s="4">
        <v>2019</v>
      </c>
      <c r="AM184" s="4">
        <v>37</v>
      </c>
      <c r="AN184" s="4">
        <v>6</v>
      </c>
      <c r="AO184" s="2" t="s">
        <v>86</v>
      </c>
      <c r="AP184" s="2" t="s">
        <v>86</v>
      </c>
      <c r="AQ184" s="2" t="s">
        <v>86</v>
      </c>
      <c r="AR184" s="2" t="s">
        <v>86</v>
      </c>
      <c r="AS184" s="4">
        <v>621</v>
      </c>
      <c r="AT184" s="4">
        <v>630</v>
      </c>
      <c r="AU184" s="2" t="s">
        <v>86</v>
      </c>
      <c r="AV184" s="2" t="s">
        <v>86</v>
      </c>
      <c r="AW184" s="2" t="s">
        <v>86</v>
      </c>
      <c r="AX184" s="4">
        <v>10</v>
      </c>
      <c r="AY184" s="2" t="s">
        <v>567</v>
      </c>
      <c r="AZ184" s="2" t="s">
        <v>92</v>
      </c>
      <c r="BA184" s="2" t="s">
        <v>568</v>
      </c>
      <c r="BB184" s="2" t="s">
        <v>3315</v>
      </c>
      <c r="BC184" s="4">
        <v>30973084</v>
      </c>
      <c r="BD184" s="2" t="s">
        <v>86</v>
      </c>
      <c r="BE184" s="2" t="s">
        <v>86</v>
      </c>
      <c r="BF184" s="2" t="s">
        <v>86</v>
      </c>
      <c r="BG184" s="2" t="s">
        <v>95</v>
      </c>
      <c r="BH184" s="2" t="s">
        <v>3316</v>
      </c>
      <c r="BI184" s="2" t="str">
        <f>HYPERLINK("https%3A%2F%2Fwww.webofscience.com%2Fwos%2Fwoscc%2Ffull-record%2FWOS:000474405200007","View Full Record in Web of Science")</f>
        <v>View Full Record in Web of Science</v>
      </c>
    </row>
    <row r="185" spans="1:61" customFormat="1" ht="12.75" x14ac:dyDescent="0.2">
      <c r="A185" s="1">
        <v>181</v>
      </c>
      <c r="B185" s="1" t="s">
        <v>1068</v>
      </c>
      <c r="C185" s="1" t="s">
        <v>3317</v>
      </c>
      <c r="D185" s="2" t="s">
        <v>3318</v>
      </c>
      <c r="E185" s="2" t="s">
        <v>3319</v>
      </c>
      <c r="F185" s="3" t="str">
        <f>HYPERLINK("http://dx.doi.org/10.1007/s10661-022-10511-z","http://dx.doi.org/10.1007/s10661-022-10511-z")</f>
        <v>http://dx.doi.org/10.1007/s10661-022-10511-z</v>
      </c>
      <c r="G185" s="2" t="s">
        <v>200</v>
      </c>
      <c r="H185" s="2" t="s">
        <v>3320</v>
      </c>
      <c r="I185" s="2" t="s">
        <v>3321</v>
      </c>
      <c r="J185" s="2" t="s">
        <v>401</v>
      </c>
      <c r="K185" s="2" t="s">
        <v>68</v>
      </c>
      <c r="L185" s="2" t="s">
        <v>3322</v>
      </c>
      <c r="M185" s="2" t="s">
        <v>3323</v>
      </c>
      <c r="N185" s="2" t="s">
        <v>3324</v>
      </c>
      <c r="O185" s="2" t="s">
        <v>3208</v>
      </c>
      <c r="P185" s="2" t="s">
        <v>3325</v>
      </c>
      <c r="Q185" s="2" t="s">
        <v>3326</v>
      </c>
      <c r="R185" s="2" t="s">
        <v>86</v>
      </c>
      <c r="S185" s="2" t="s">
        <v>86</v>
      </c>
      <c r="T185" s="2" t="s">
        <v>3327</v>
      </c>
      <c r="U185" s="2" t="s">
        <v>3328</v>
      </c>
      <c r="V185" s="2" t="s">
        <v>3329</v>
      </c>
      <c r="W185" s="2" t="s">
        <v>80</v>
      </c>
      <c r="X185" s="4">
        <v>48</v>
      </c>
      <c r="Y185" s="4">
        <v>0</v>
      </c>
      <c r="Z185" s="4">
        <v>0</v>
      </c>
      <c r="AA185" s="4">
        <v>3</v>
      </c>
      <c r="AB185" s="4">
        <v>8</v>
      </c>
      <c r="AC185" s="2" t="s">
        <v>139</v>
      </c>
      <c r="AD185" s="2" t="s">
        <v>140</v>
      </c>
      <c r="AE185" s="2" t="s">
        <v>141</v>
      </c>
      <c r="AF185" s="2" t="s">
        <v>412</v>
      </c>
      <c r="AG185" s="2" t="s">
        <v>413</v>
      </c>
      <c r="AH185" s="2" t="s">
        <v>86</v>
      </c>
      <c r="AI185" s="2" t="s">
        <v>414</v>
      </c>
      <c r="AJ185" s="2" t="s">
        <v>415</v>
      </c>
      <c r="AK185" s="2" t="s">
        <v>534</v>
      </c>
      <c r="AL185" s="4">
        <v>2023</v>
      </c>
      <c r="AM185" s="4">
        <v>195</v>
      </c>
      <c r="AN185" s="4">
        <v>1</v>
      </c>
      <c r="AO185" s="2" t="s">
        <v>86</v>
      </c>
      <c r="AP185" s="2" t="s">
        <v>86</v>
      </c>
      <c r="AQ185" s="2" t="s">
        <v>86</v>
      </c>
      <c r="AR185" s="2" t="s">
        <v>86</v>
      </c>
      <c r="AS185" s="2" t="s">
        <v>86</v>
      </c>
      <c r="AT185" s="2" t="s">
        <v>86</v>
      </c>
      <c r="AU185" s="4">
        <v>4</v>
      </c>
      <c r="AV185" s="2" t="s">
        <v>86</v>
      </c>
      <c r="AW185" s="2" t="s">
        <v>86</v>
      </c>
      <c r="AX185" s="4">
        <v>21</v>
      </c>
      <c r="AY185" s="2" t="s">
        <v>91</v>
      </c>
      <c r="AZ185" s="2" t="s">
        <v>92</v>
      </c>
      <c r="BA185" s="2" t="s">
        <v>93</v>
      </c>
      <c r="BB185" s="2" t="s">
        <v>3330</v>
      </c>
      <c r="BC185" s="4">
        <v>36266377</v>
      </c>
      <c r="BD185" s="2" t="s">
        <v>86</v>
      </c>
      <c r="BE185" s="2" t="s">
        <v>86</v>
      </c>
      <c r="BF185" s="2" t="s">
        <v>86</v>
      </c>
      <c r="BG185" s="2" t="s">
        <v>95</v>
      </c>
      <c r="BH185" s="2" t="s">
        <v>3331</v>
      </c>
      <c r="BI185" s="2" t="str">
        <f>HYPERLINK("https%3A%2F%2Fwww.webofscience.com%2Fwos%2Fwoscc%2Ffull-record%2FWOS:000870754800003","View Full Record in Web of Science")</f>
        <v>View Full Record in Web of Science</v>
      </c>
    </row>
    <row r="186" spans="1:61" customFormat="1" ht="12.75" x14ac:dyDescent="0.2">
      <c r="A186" s="1">
        <v>182</v>
      </c>
      <c r="B186" s="1" t="s">
        <v>1068</v>
      </c>
      <c r="C186" s="1" t="s">
        <v>3332</v>
      </c>
      <c r="D186" s="2" t="s">
        <v>3333</v>
      </c>
      <c r="E186" s="2" t="s">
        <v>3334</v>
      </c>
      <c r="F186" s="3" t="str">
        <f>HYPERLINK("http://dx.doi.org/10.1016/j.marpolbul.2014.02.017","http://dx.doi.org/10.1016/j.marpolbul.2014.02.017")</f>
        <v>http://dx.doi.org/10.1016/j.marpolbul.2014.02.017</v>
      </c>
      <c r="G186" s="2" t="s">
        <v>200</v>
      </c>
      <c r="H186" s="2" t="s">
        <v>3335</v>
      </c>
      <c r="I186" s="2" t="s">
        <v>3336</v>
      </c>
      <c r="J186" s="2" t="s">
        <v>424</v>
      </c>
      <c r="K186" s="2" t="s">
        <v>68</v>
      </c>
      <c r="L186" s="2" t="s">
        <v>3337</v>
      </c>
      <c r="M186" s="2" t="s">
        <v>3338</v>
      </c>
      <c r="N186" s="2" t="s">
        <v>3339</v>
      </c>
      <c r="O186" s="2" t="s">
        <v>1451</v>
      </c>
      <c r="P186" s="2" t="s">
        <v>3340</v>
      </c>
      <c r="Q186" s="2" t="s">
        <v>3341</v>
      </c>
      <c r="R186" s="2" t="s">
        <v>3342</v>
      </c>
      <c r="S186" s="2" t="s">
        <v>3343</v>
      </c>
      <c r="T186" s="2" t="s">
        <v>3344</v>
      </c>
      <c r="U186" s="2" t="s">
        <v>2572</v>
      </c>
      <c r="V186" s="2" t="s">
        <v>3345</v>
      </c>
      <c r="W186" s="2" t="s">
        <v>80</v>
      </c>
      <c r="X186" s="4">
        <v>25</v>
      </c>
      <c r="Y186" s="4">
        <v>46</v>
      </c>
      <c r="Z186" s="4">
        <v>46</v>
      </c>
      <c r="AA186" s="4">
        <v>0</v>
      </c>
      <c r="AB186" s="4">
        <v>28</v>
      </c>
      <c r="AC186" s="2" t="s">
        <v>237</v>
      </c>
      <c r="AD186" s="2" t="s">
        <v>115</v>
      </c>
      <c r="AE186" s="2" t="s">
        <v>238</v>
      </c>
      <c r="AF186" s="2" t="s">
        <v>436</v>
      </c>
      <c r="AG186" s="2" t="s">
        <v>437</v>
      </c>
      <c r="AH186" s="2" t="s">
        <v>86</v>
      </c>
      <c r="AI186" s="2" t="s">
        <v>438</v>
      </c>
      <c r="AJ186" s="2" t="s">
        <v>439</v>
      </c>
      <c r="AK186" s="2" t="s">
        <v>3346</v>
      </c>
      <c r="AL186" s="4">
        <v>2014</v>
      </c>
      <c r="AM186" s="4">
        <v>81</v>
      </c>
      <c r="AN186" s="4">
        <v>1</v>
      </c>
      <c r="AO186" s="2" t="s">
        <v>86</v>
      </c>
      <c r="AP186" s="2" t="s">
        <v>86</v>
      </c>
      <c r="AQ186" s="2" t="s">
        <v>86</v>
      </c>
      <c r="AR186" s="2" t="s">
        <v>86</v>
      </c>
      <c r="AS186" s="4">
        <v>80</v>
      </c>
      <c r="AT186" s="4">
        <v>84</v>
      </c>
      <c r="AU186" s="2" t="s">
        <v>86</v>
      </c>
      <c r="AV186" s="2" t="s">
        <v>86</v>
      </c>
      <c r="AW186" s="2" t="s">
        <v>86</v>
      </c>
      <c r="AX186" s="4">
        <v>5</v>
      </c>
      <c r="AY186" s="2" t="s">
        <v>441</v>
      </c>
      <c r="AZ186" s="2" t="s">
        <v>92</v>
      </c>
      <c r="BA186" s="2" t="s">
        <v>442</v>
      </c>
      <c r="BB186" s="2" t="s">
        <v>3347</v>
      </c>
      <c r="BC186" s="4">
        <v>24629379</v>
      </c>
      <c r="BD186" s="2" t="s">
        <v>86</v>
      </c>
      <c r="BE186" s="2" t="s">
        <v>86</v>
      </c>
      <c r="BF186" s="2" t="s">
        <v>86</v>
      </c>
      <c r="BG186" s="2" t="s">
        <v>95</v>
      </c>
      <c r="BH186" s="2" t="s">
        <v>3348</v>
      </c>
      <c r="BI186" s="2" t="str">
        <f>HYPERLINK("https%3A%2F%2Fwww.webofscience.com%2Fwos%2Fwoscc%2Ffull-record%2FWOS:000335626500022","View Full Record in Web of Science")</f>
        <v>View Full Record in Web of Science</v>
      </c>
    </row>
    <row r="187" spans="1:61" customFormat="1" ht="12.75" x14ac:dyDescent="0.2">
      <c r="A187" s="1">
        <v>183</v>
      </c>
      <c r="B187" s="1" t="s">
        <v>1068</v>
      </c>
      <c r="C187" s="1" t="s">
        <v>3349</v>
      </c>
      <c r="D187" s="2" t="s">
        <v>3350</v>
      </c>
      <c r="E187" s="2" t="s">
        <v>3351</v>
      </c>
      <c r="F187" s="3" t="str">
        <f>HYPERLINK("http://dx.doi.org/10.12714/egejfas.38.1.06","http://dx.doi.org/10.12714/egejfas.38.1.06")</f>
        <v>http://dx.doi.org/10.12714/egejfas.38.1.06</v>
      </c>
      <c r="G187" s="2" t="s">
        <v>200</v>
      </c>
      <c r="H187" s="2" t="s">
        <v>3352</v>
      </c>
      <c r="I187" s="2" t="s">
        <v>3353</v>
      </c>
      <c r="J187" s="2" t="s">
        <v>304</v>
      </c>
      <c r="K187" s="2" t="s">
        <v>305</v>
      </c>
      <c r="L187" s="2" t="s">
        <v>3354</v>
      </c>
      <c r="M187" s="2" t="s">
        <v>3355</v>
      </c>
      <c r="N187" s="2" t="s">
        <v>3356</v>
      </c>
      <c r="O187" s="2" t="s">
        <v>3357</v>
      </c>
      <c r="P187" s="2" t="s">
        <v>3358</v>
      </c>
      <c r="Q187" s="2" t="s">
        <v>3359</v>
      </c>
      <c r="R187" s="2" t="s">
        <v>86</v>
      </c>
      <c r="S187" s="2" t="s">
        <v>86</v>
      </c>
      <c r="T187" s="2" t="s">
        <v>86</v>
      </c>
      <c r="U187" s="2" t="s">
        <v>86</v>
      </c>
      <c r="V187" s="2" t="s">
        <v>86</v>
      </c>
      <c r="W187" s="2" t="s">
        <v>80</v>
      </c>
      <c r="X187" s="4">
        <v>29</v>
      </c>
      <c r="Y187" s="4">
        <v>1</v>
      </c>
      <c r="Z187" s="4">
        <v>1</v>
      </c>
      <c r="AA187" s="4">
        <v>6</v>
      </c>
      <c r="AB187" s="4">
        <v>12</v>
      </c>
      <c r="AC187" s="2" t="s">
        <v>313</v>
      </c>
      <c r="AD187" s="2" t="s">
        <v>314</v>
      </c>
      <c r="AE187" s="2" t="s">
        <v>315</v>
      </c>
      <c r="AF187" s="2" t="s">
        <v>316</v>
      </c>
      <c r="AG187" s="2" t="s">
        <v>317</v>
      </c>
      <c r="AH187" s="2" t="s">
        <v>86</v>
      </c>
      <c r="AI187" s="2" t="s">
        <v>304</v>
      </c>
      <c r="AJ187" s="2" t="s">
        <v>318</v>
      </c>
      <c r="AK187" s="2" t="s">
        <v>86</v>
      </c>
      <c r="AL187" s="4">
        <v>2021</v>
      </c>
      <c r="AM187" s="4">
        <v>38</v>
      </c>
      <c r="AN187" s="4">
        <v>1</v>
      </c>
      <c r="AO187" s="2" t="s">
        <v>86</v>
      </c>
      <c r="AP187" s="2" t="s">
        <v>86</v>
      </c>
      <c r="AQ187" s="2" t="s">
        <v>86</v>
      </c>
      <c r="AR187" s="2" t="s">
        <v>86</v>
      </c>
      <c r="AS187" s="4">
        <v>53</v>
      </c>
      <c r="AT187" s="4">
        <v>61</v>
      </c>
      <c r="AU187" s="2" t="s">
        <v>86</v>
      </c>
      <c r="AV187" s="2" t="s">
        <v>86</v>
      </c>
      <c r="AW187" s="2" t="s">
        <v>86</v>
      </c>
      <c r="AX187" s="4">
        <v>9</v>
      </c>
      <c r="AY187" s="2" t="s">
        <v>319</v>
      </c>
      <c r="AZ187" s="2" t="s">
        <v>171</v>
      </c>
      <c r="BA187" s="2" t="s">
        <v>319</v>
      </c>
      <c r="BB187" s="2" t="s">
        <v>3360</v>
      </c>
      <c r="BC187" s="2" t="s">
        <v>86</v>
      </c>
      <c r="BD187" s="2" t="s">
        <v>321</v>
      </c>
      <c r="BE187" s="2" t="s">
        <v>86</v>
      </c>
      <c r="BF187" s="2" t="s">
        <v>86</v>
      </c>
      <c r="BG187" s="2" t="s">
        <v>95</v>
      </c>
      <c r="BH187" s="2" t="s">
        <v>3361</v>
      </c>
      <c r="BI187" s="2" t="str">
        <f>HYPERLINK("https%3A%2F%2Fwww.webofscience.com%2Fwos%2Fwoscc%2Ffull-record%2FWOS:000644863800006","View Full Record in Web of Science")</f>
        <v>View Full Record in Web of Science</v>
      </c>
    </row>
    <row r="188" spans="1:61" customFormat="1" ht="12.75" x14ac:dyDescent="0.2">
      <c r="A188" s="1">
        <v>184</v>
      </c>
      <c r="B188" s="1" t="s">
        <v>1068</v>
      </c>
      <c r="C188" s="1" t="s">
        <v>3362</v>
      </c>
      <c r="D188" s="2" t="s">
        <v>3363</v>
      </c>
      <c r="E188" s="2" t="s">
        <v>3364</v>
      </c>
      <c r="F188" s="3" t="str">
        <f>HYPERLINK("http://dx.doi.org/10.1080/00405000.2020.1741760","http://dx.doi.org/10.1080/00405000.2020.1741760")</f>
        <v>http://dx.doi.org/10.1080/00405000.2020.1741760</v>
      </c>
      <c r="G188" s="2" t="s">
        <v>200</v>
      </c>
      <c r="H188" s="2" t="s">
        <v>3365</v>
      </c>
      <c r="I188" s="2" t="s">
        <v>3366</v>
      </c>
      <c r="J188" s="2" t="s">
        <v>3367</v>
      </c>
      <c r="K188" s="2" t="s">
        <v>68</v>
      </c>
      <c r="L188" s="2" t="s">
        <v>3368</v>
      </c>
      <c r="M188" s="2" t="s">
        <v>3369</v>
      </c>
      <c r="N188" s="2" t="s">
        <v>3370</v>
      </c>
      <c r="O188" s="2" t="s">
        <v>2158</v>
      </c>
      <c r="P188" s="2" t="s">
        <v>3371</v>
      </c>
      <c r="Q188" s="2" t="s">
        <v>3372</v>
      </c>
      <c r="R188" s="2" t="s">
        <v>1175</v>
      </c>
      <c r="S188" s="2" t="s">
        <v>1176</v>
      </c>
      <c r="T188" s="2" t="s">
        <v>86</v>
      </c>
      <c r="U188" s="2" t="s">
        <v>86</v>
      </c>
      <c r="V188" s="2" t="s">
        <v>86</v>
      </c>
      <c r="W188" s="2" t="s">
        <v>80</v>
      </c>
      <c r="X188" s="4">
        <v>44</v>
      </c>
      <c r="Y188" s="4">
        <v>21</v>
      </c>
      <c r="Z188" s="4">
        <v>21</v>
      </c>
      <c r="AA188" s="4">
        <v>7</v>
      </c>
      <c r="AB188" s="4">
        <v>52</v>
      </c>
      <c r="AC188" s="2" t="s">
        <v>286</v>
      </c>
      <c r="AD188" s="2" t="s">
        <v>287</v>
      </c>
      <c r="AE188" s="2" t="s">
        <v>288</v>
      </c>
      <c r="AF188" s="2" t="s">
        <v>3373</v>
      </c>
      <c r="AG188" s="2" t="s">
        <v>3374</v>
      </c>
      <c r="AH188" s="2" t="s">
        <v>86</v>
      </c>
      <c r="AI188" s="2" t="s">
        <v>3375</v>
      </c>
      <c r="AJ188" s="2" t="s">
        <v>3376</v>
      </c>
      <c r="AK188" s="2" t="s">
        <v>611</v>
      </c>
      <c r="AL188" s="4">
        <v>2021</v>
      </c>
      <c r="AM188" s="4">
        <v>112</v>
      </c>
      <c r="AN188" s="4">
        <v>2</v>
      </c>
      <c r="AO188" s="2" t="s">
        <v>86</v>
      </c>
      <c r="AP188" s="2" t="s">
        <v>86</v>
      </c>
      <c r="AQ188" s="2" t="s">
        <v>86</v>
      </c>
      <c r="AR188" s="2" t="s">
        <v>86</v>
      </c>
      <c r="AS188" s="4">
        <v>264</v>
      </c>
      <c r="AT188" s="4">
        <v>272</v>
      </c>
      <c r="AU188" s="2" t="s">
        <v>86</v>
      </c>
      <c r="AV188" s="2" t="s">
        <v>86</v>
      </c>
      <c r="AW188" s="2" t="s">
        <v>3377</v>
      </c>
      <c r="AX188" s="4">
        <v>9</v>
      </c>
      <c r="AY188" s="2" t="s">
        <v>3378</v>
      </c>
      <c r="AZ188" s="2" t="s">
        <v>92</v>
      </c>
      <c r="BA188" s="2" t="s">
        <v>3123</v>
      </c>
      <c r="BB188" s="2" t="s">
        <v>3379</v>
      </c>
      <c r="BC188" s="2" t="s">
        <v>86</v>
      </c>
      <c r="BD188" s="2" t="s">
        <v>86</v>
      </c>
      <c r="BE188" s="2" t="s">
        <v>86</v>
      </c>
      <c r="BF188" s="2" t="s">
        <v>86</v>
      </c>
      <c r="BG188" s="2" t="s">
        <v>95</v>
      </c>
      <c r="BH188" s="2" t="s">
        <v>3380</v>
      </c>
      <c r="BI188" s="2" t="str">
        <f>HYPERLINK("https%3A%2F%2Fwww.webofscience.com%2Fwos%2Fwoscc%2Ffull-record%2FWOS:000520541600001","View Full Record in Web of Science")</f>
        <v>View Full Record in Web of Science</v>
      </c>
    </row>
    <row r="189" spans="1:61" customFormat="1" ht="12.75" x14ac:dyDescent="0.2">
      <c r="A189" s="1">
        <v>185</v>
      </c>
      <c r="B189" s="1" t="s">
        <v>1068</v>
      </c>
      <c r="C189" s="1" t="s">
        <v>3381</v>
      </c>
      <c r="D189" s="2" t="s">
        <v>3382</v>
      </c>
      <c r="E189" s="2" t="s">
        <v>3383</v>
      </c>
      <c r="F189" s="3" t="str">
        <f>HYPERLINK("http://dx.doi.org/10.1016/j.wasman.2023.02.025","http://dx.doi.org/10.1016/j.wasman.2023.02.025")</f>
        <v>http://dx.doi.org/10.1016/j.wasman.2023.02.025</v>
      </c>
      <c r="G189" s="2" t="s">
        <v>200</v>
      </c>
      <c r="H189" s="2" t="s">
        <v>3384</v>
      </c>
      <c r="I189" s="2" t="s">
        <v>3385</v>
      </c>
      <c r="J189" s="2" t="s">
        <v>3219</v>
      </c>
      <c r="K189" s="2" t="s">
        <v>68</v>
      </c>
      <c r="L189" s="2" t="s">
        <v>3386</v>
      </c>
      <c r="M189" s="2" t="s">
        <v>3387</v>
      </c>
      <c r="N189" s="2" t="s">
        <v>3388</v>
      </c>
      <c r="O189" s="2" t="s">
        <v>1078</v>
      </c>
      <c r="P189" s="2" t="s">
        <v>3389</v>
      </c>
      <c r="Q189" s="2" t="s">
        <v>2012</v>
      </c>
      <c r="R189" s="2" t="s">
        <v>3390</v>
      </c>
      <c r="S189" s="2" t="s">
        <v>3391</v>
      </c>
      <c r="T189" s="2" t="s">
        <v>3392</v>
      </c>
      <c r="U189" s="2" t="s">
        <v>3393</v>
      </c>
      <c r="V189" s="2" t="s">
        <v>3394</v>
      </c>
      <c r="W189" s="2" t="s">
        <v>80</v>
      </c>
      <c r="X189" s="4">
        <v>66</v>
      </c>
      <c r="Y189" s="4">
        <v>2</v>
      </c>
      <c r="Z189" s="4">
        <v>2</v>
      </c>
      <c r="AA189" s="4">
        <v>4</v>
      </c>
      <c r="AB189" s="4">
        <v>4</v>
      </c>
      <c r="AC189" s="2" t="s">
        <v>237</v>
      </c>
      <c r="AD189" s="2" t="s">
        <v>115</v>
      </c>
      <c r="AE189" s="2" t="s">
        <v>238</v>
      </c>
      <c r="AF189" s="2" t="s">
        <v>3226</v>
      </c>
      <c r="AG189" s="2" t="s">
        <v>3227</v>
      </c>
      <c r="AH189" s="2" t="s">
        <v>86</v>
      </c>
      <c r="AI189" s="2" t="s">
        <v>3228</v>
      </c>
      <c r="AJ189" s="2" t="s">
        <v>3229</v>
      </c>
      <c r="AK189" s="2" t="s">
        <v>3346</v>
      </c>
      <c r="AL189" s="4">
        <v>2023</v>
      </c>
      <c r="AM189" s="4">
        <v>161</v>
      </c>
      <c r="AN189" s="2" t="s">
        <v>86</v>
      </c>
      <c r="AO189" s="2" t="s">
        <v>86</v>
      </c>
      <c r="AP189" s="2" t="s">
        <v>86</v>
      </c>
      <c r="AQ189" s="2" t="s">
        <v>86</v>
      </c>
      <c r="AR189" s="2" t="s">
        <v>86</v>
      </c>
      <c r="AS189" s="4">
        <v>1</v>
      </c>
      <c r="AT189" s="4">
        <v>9</v>
      </c>
      <c r="AU189" s="2" t="s">
        <v>86</v>
      </c>
      <c r="AV189" s="2" t="s">
        <v>86</v>
      </c>
      <c r="AW189" s="2" t="s">
        <v>1440</v>
      </c>
      <c r="AX189" s="4">
        <v>9</v>
      </c>
      <c r="AY189" s="2" t="s">
        <v>567</v>
      </c>
      <c r="AZ189" s="2" t="s">
        <v>92</v>
      </c>
      <c r="BA189" s="2" t="s">
        <v>568</v>
      </c>
      <c r="BB189" s="2" t="s">
        <v>3395</v>
      </c>
      <c r="BC189" s="4">
        <v>36848745</v>
      </c>
      <c r="BD189" s="2" t="s">
        <v>86</v>
      </c>
      <c r="BE189" s="2" t="s">
        <v>86</v>
      </c>
      <c r="BF189" s="2" t="s">
        <v>86</v>
      </c>
      <c r="BG189" s="2" t="s">
        <v>95</v>
      </c>
      <c r="BH189" s="2" t="s">
        <v>3396</v>
      </c>
      <c r="BI189" s="2" t="str">
        <f>HYPERLINK("https%3A%2F%2Fwww.webofscience.com%2Fwos%2Fwoscc%2Ffull-record%2FWOS:000949655100001","View Full Record in Web of Science")</f>
        <v>View Full Record in Web of Science</v>
      </c>
    </row>
    <row r="190" spans="1:61" customFormat="1" ht="12.75" x14ac:dyDescent="0.2">
      <c r="A190" s="1">
        <v>186</v>
      </c>
      <c r="B190" s="1" t="s">
        <v>1068</v>
      </c>
      <c r="C190" s="1" t="s">
        <v>3397</v>
      </c>
      <c r="D190" s="2" t="s">
        <v>3398</v>
      </c>
      <c r="E190" s="2" t="s">
        <v>86</v>
      </c>
      <c r="F190" s="2" t="s">
        <v>86</v>
      </c>
      <c r="G190" s="2" t="s">
        <v>176</v>
      </c>
      <c r="H190" s="2" t="s">
        <v>3399</v>
      </c>
      <c r="I190" s="2" t="s">
        <v>3400</v>
      </c>
      <c r="J190" s="2" t="s">
        <v>179</v>
      </c>
      <c r="K190" s="2" t="s">
        <v>68</v>
      </c>
      <c r="L190" s="2" t="s">
        <v>3401</v>
      </c>
      <c r="M190" s="2" t="s">
        <v>86</v>
      </c>
      <c r="N190" s="2" t="s">
        <v>3402</v>
      </c>
      <c r="O190" s="2" t="s">
        <v>3403</v>
      </c>
      <c r="P190" s="2" t="s">
        <v>3404</v>
      </c>
      <c r="Q190" s="2" t="s">
        <v>3405</v>
      </c>
      <c r="R190" s="2" t="s">
        <v>3406</v>
      </c>
      <c r="S190" s="2" t="s">
        <v>3407</v>
      </c>
      <c r="T190" s="2" t="s">
        <v>3408</v>
      </c>
      <c r="U190" s="2" t="s">
        <v>3408</v>
      </c>
      <c r="V190" s="2" t="s">
        <v>3409</v>
      </c>
      <c r="W190" s="2" t="s">
        <v>188</v>
      </c>
      <c r="X190" s="4">
        <v>19</v>
      </c>
      <c r="Y190" s="4">
        <v>0</v>
      </c>
      <c r="Z190" s="4">
        <v>0</v>
      </c>
      <c r="AA190" s="4">
        <v>2</v>
      </c>
      <c r="AB190" s="4">
        <v>2</v>
      </c>
      <c r="AC190" s="2" t="s">
        <v>189</v>
      </c>
      <c r="AD190" s="2" t="s">
        <v>165</v>
      </c>
      <c r="AE190" s="2" t="s">
        <v>190</v>
      </c>
      <c r="AF190" s="2" t="s">
        <v>86</v>
      </c>
      <c r="AG190" s="2" t="s">
        <v>86</v>
      </c>
      <c r="AH190" s="2" t="s">
        <v>191</v>
      </c>
      <c r="AI190" s="2" t="s">
        <v>192</v>
      </c>
      <c r="AJ190" s="2" t="s">
        <v>86</v>
      </c>
      <c r="AK190" s="2" t="s">
        <v>86</v>
      </c>
      <c r="AL190" s="4">
        <v>2020</v>
      </c>
      <c r="AM190" s="4">
        <v>56</v>
      </c>
      <c r="AN190" s="2" t="s">
        <v>86</v>
      </c>
      <c r="AO190" s="2" t="s">
        <v>86</v>
      </c>
      <c r="AP190" s="2" t="s">
        <v>86</v>
      </c>
      <c r="AQ190" s="2" t="s">
        <v>86</v>
      </c>
      <c r="AR190" s="2" t="s">
        <v>86</v>
      </c>
      <c r="AS190" s="4">
        <v>136</v>
      </c>
      <c r="AT190" s="4">
        <v>150</v>
      </c>
      <c r="AU190" s="2" t="s">
        <v>86</v>
      </c>
      <c r="AV190" s="2" t="s">
        <v>86</v>
      </c>
      <c r="AW190" s="2" t="s">
        <v>86</v>
      </c>
      <c r="AX190" s="4">
        <v>15</v>
      </c>
      <c r="AY190" s="2" t="s">
        <v>193</v>
      </c>
      <c r="AZ190" s="2" t="s">
        <v>194</v>
      </c>
      <c r="BA190" s="2" t="s">
        <v>93</v>
      </c>
      <c r="BB190" s="2" t="s">
        <v>195</v>
      </c>
      <c r="BC190" s="2" t="s">
        <v>86</v>
      </c>
      <c r="BD190" s="2" t="s">
        <v>86</v>
      </c>
      <c r="BE190" s="2" t="s">
        <v>86</v>
      </c>
      <c r="BF190" s="2" t="s">
        <v>86</v>
      </c>
      <c r="BG190" s="2" t="s">
        <v>95</v>
      </c>
      <c r="BH190" s="2" t="s">
        <v>3410</v>
      </c>
      <c r="BI190" s="2" t="str">
        <f>HYPERLINK("https%3A%2F%2Fwww.webofscience.com%2Fwos%2Fwoscc%2Ffull-record%2FWOS:000637180200013","View Full Record in Web of Science")</f>
        <v>View Full Record in Web of Science</v>
      </c>
    </row>
    <row r="191" spans="1:61" customFormat="1" ht="12.75" x14ac:dyDescent="0.2">
      <c r="A191" s="1">
        <v>187</v>
      </c>
      <c r="B191" s="1" t="s">
        <v>1068</v>
      </c>
      <c r="C191" s="1" t="s">
        <v>3411</v>
      </c>
      <c r="D191" s="2" t="s">
        <v>3412</v>
      </c>
      <c r="E191" s="2" t="s">
        <v>3413</v>
      </c>
      <c r="F191" s="3" t="str">
        <f>HYPERLINK("http://dx.doi.org/10.1080/14634988.2016.1257898","http://dx.doi.org/10.1080/14634988.2016.1257898")</f>
        <v>http://dx.doi.org/10.1080/14634988.2016.1257898</v>
      </c>
      <c r="G191" s="2" t="s">
        <v>200</v>
      </c>
      <c r="H191" s="2" t="s">
        <v>3414</v>
      </c>
      <c r="I191" s="2" t="s">
        <v>3415</v>
      </c>
      <c r="J191" s="2" t="s">
        <v>3416</v>
      </c>
      <c r="K191" s="2" t="s">
        <v>68</v>
      </c>
      <c r="L191" s="2" t="s">
        <v>3417</v>
      </c>
      <c r="M191" s="2" t="s">
        <v>3418</v>
      </c>
      <c r="N191" s="2" t="s">
        <v>3419</v>
      </c>
      <c r="O191" s="2" t="s">
        <v>3420</v>
      </c>
      <c r="P191" s="2" t="s">
        <v>3421</v>
      </c>
      <c r="Q191" s="2" t="s">
        <v>3422</v>
      </c>
      <c r="R191" s="2" t="s">
        <v>3423</v>
      </c>
      <c r="S191" s="2" t="s">
        <v>3424</v>
      </c>
      <c r="T191" s="2" t="s">
        <v>86</v>
      </c>
      <c r="U191" s="2" t="s">
        <v>86</v>
      </c>
      <c r="V191" s="2" t="s">
        <v>86</v>
      </c>
      <c r="W191" s="2" t="s">
        <v>80</v>
      </c>
      <c r="X191" s="4">
        <v>39</v>
      </c>
      <c r="Y191" s="4">
        <v>8</v>
      </c>
      <c r="Z191" s="4">
        <v>8</v>
      </c>
      <c r="AA191" s="4">
        <v>0</v>
      </c>
      <c r="AB191" s="4">
        <v>13</v>
      </c>
      <c r="AC191" s="2" t="s">
        <v>3425</v>
      </c>
      <c r="AD191" s="2" t="s">
        <v>3426</v>
      </c>
      <c r="AE191" s="2" t="s">
        <v>3427</v>
      </c>
      <c r="AF191" s="2" t="s">
        <v>3428</v>
      </c>
      <c r="AG191" s="2" t="s">
        <v>3429</v>
      </c>
      <c r="AH191" s="2" t="s">
        <v>86</v>
      </c>
      <c r="AI191" s="2" t="s">
        <v>3430</v>
      </c>
      <c r="AJ191" s="2" t="s">
        <v>3431</v>
      </c>
      <c r="AK191" s="2" t="s">
        <v>86</v>
      </c>
      <c r="AL191" s="4">
        <v>2016</v>
      </c>
      <c r="AM191" s="4">
        <v>19</v>
      </c>
      <c r="AN191" s="4">
        <v>4</v>
      </c>
      <c r="AO191" s="2" t="s">
        <v>86</v>
      </c>
      <c r="AP191" s="2" t="s">
        <v>86</v>
      </c>
      <c r="AQ191" s="2" t="s">
        <v>86</v>
      </c>
      <c r="AR191" s="2" t="s">
        <v>86</v>
      </c>
      <c r="AS191" s="4">
        <v>461</v>
      </c>
      <c r="AT191" s="4">
        <v>467</v>
      </c>
      <c r="AU191" s="2" t="s">
        <v>86</v>
      </c>
      <c r="AV191" s="2" t="s">
        <v>86</v>
      </c>
      <c r="AW191" s="2" t="s">
        <v>86</v>
      </c>
      <c r="AX191" s="4">
        <v>7</v>
      </c>
      <c r="AY191" s="2" t="s">
        <v>3432</v>
      </c>
      <c r="AZ191" s="2" t="s">
        <v>92</v>
      </c>
      <c r="BA191" s="2" t="s">
        <v>3433</v>
      </c>
      <c r="BB191" s="2" t="s">
        <v>3434</v>
      </c>
      <c r="BC191" s="2" t="s">
        <v>86</v>
      </c>
      <c r="BD191" s="2" t="s">
        <v>86</v>
      </c>
      <c r="BE191" s="2" t="s">
        <v>86</v>
      </c>
      <c r="BF191" s="2" t="s">
        <v>86</v>
      </c>
      <c r="BG191" s="2" t="s">
        <v>95</v>
      </c>
      <c r="BH191" s="2" t="s">
        <v>3435</v>
      </c>
      <c r="BI191" s="2" t="str">
        <f>HYPERLINK("https%3A%2F%2Fwww.webofscience.com%2Fwos%2Fwoscc%2Ffull-record%2FWOS:000390898900015","View Full Record in Web of Science")</f>
        <v>View Full Record in Web of Science</v>
      </c>
    </row>
    <row r="192" spans="1:61" customFormat="1" ht="12.75" x14ac:dyDescent="0.2">
      <c r="A192" s="1">
        <v>188</v>
      </c>
      <c r="B192" s="1" t="s">
        <v>1068</v>
      </c>
      <c r="C192" s="1" t="s">
        <v>3436</v>
      </c>
      <c r="D192" s="2" t="s">
        <v>3437</v>
      </c>
      <c r="E192" s="2" t="s">
        <v>3438</v>
      </c>
      <c r="F192" s="3" t="str">
        <f>HYPERLINK("http://dx.doi.org/10.4194/1303-2712-v13_1_06","http://dx.doi.org/10.4194/1303-2712-v13_1_06")</f>
        <v>http://dx.doi.org/10.4194/1303-2712-v13_1_06</v>
      </c>
      <c r="G192" s="2" t="s">
        <v>200</v>
      </c>
      <c r="H192" s="2" t="s">
        <v>3439</v>
      </c>
      <c r="I192" s="2" t="s">
        <v>3440</v>
      </c>
      <c r="J192" s="2" t="s">
        <v>620</v>
      </c>
      <c r="K192" s="2" t="s">
        <v>68</v>
      </c>
      <c r="L192" s="2" t="s">
        <v>3441</v>
      </c>
      <c r="M192" s="2" t="s">
        <v>3442</v>
      </c>
      <c r="N192" s="2" t="s">
        <v>3443</v>
      </c>
      <c r="O192" s="2" t="s">
        <v>1993</v>
      </c>
      <c r="P192" s="2" t="s">
        <v>3444</v>
      </c>
      <c r="Q192" s="2" t="s">
        <v>3445</v>
      </c>
      <c r="R192" s="2" t="s">
        <v>1995</v>
      </c>
      <c r="S192" s="2" t="s">
        <v>1996</v>
      </c>
      <c r="T192" s="2" t="s">
        <v>3446</v>
      </c>
      <c r="U192" s="2" t="s">
        <v>3447</v>
      </c>
      <c r="V192" s="2" t="s">
        <v>3448</v>
      </c>
      <c r="W192" s="2" t="s">
        <v>80</v>
      </c>
      <c r="X192" s="4">
        <v>33</v>
      </c>
      <c r="Y192" s="4">
        <v>30</v>
      </c>
      <c r="Z192" s="4">
        <v>30</v>
      </c>
      <c r="AA192" s="4">
        <v>0</v>
      </c>
      <c r="AB192" s="4">
        <v>47</v>
      </c>
      <c r="AC192" s="2" t="s">
        <v>629</v>
      </c>
      <c r="AD192" s="2" t="s">
        <v>630</v>
      </c>
      <c r="AE192" s="2" t="s">
        <v>631</v>
      </c>
      <c r="AF192" s="2" t="s">
        <v>632</v>
      </c>
      <c r="AG192" s="2" t="s">
        <v>633</v>
      </c>
      <c r="AH192" s="2" t="s">
        <v>86</v>
      </c>
      <c r="AI192" s="2" t="s">
        <v>634</v>
      </c>
      <c r="AJ192" s="2" t="s">
        <v>635</v>
      </c>
      <c r="AK192" s="2" t="s">
        <v>366</v>
      </c>
      <c r="AL192" s="4">
        <v>2013</v>
      </c>
      <c r="AM192" s="4">
        <v>13</v>
      </c>
      <c r="AN192" s="4">
        <v>1</v>
      </c>
      <c r="AO192" s="2" t="s">
        <v>86</v>
      </c>
      <c r="AP192" s="2" t="s">
        <v>86</v>
      </c>
      <c r="AQ192" s="2" t="s">
        <v>86</v>
      </c>
      <c r="AR192" s="2" t="s">
        <v>86</v>
      </c>
      <c r="AS192" s="4">
        <v>43</v>
      </c>
      <c r="AT192" s="4">
        <v>49</v>
      </c>
      <c r="AU192" s="2" t="s">
        <v>86</v>
      </c>
      <c r="AV192" s="2" t="s">
        <v>86</v>
      </c>
      <c r="AW192" s="2" t="s">
        <v>86</v>
      </c>
      <c r="AX192" s="4">
        <v>7</v>
      </c>
      <c r="AY192" s="2" t="s">
        <v>319</v>
      </c>
      <c r="AZ192" s="2" t="s">
        <v>92</v>
      </c>
      <c r="BA192" s="2" t="s">
        <v>319</v>
      </c>
      <c r="BB192" s="2" t="s">
        <v>3449</v>
      </c>
      <c r="BC192" s="2" t="s">
        <v>86</v>
      </c>
      <c r="BD192" s="2" t="s">
        <v>86</v>
      </c>
      <c r="BE192" s="2" t="s">
        <v>86</v>
      </c>
      <c r="BF192" s="2" t="s">
        <v>86</v>
      </c>
      <c r="BG192" s="2" t="s">
        <v>95</v>
      </c>
      <c r="BH192" s="2" t="s">
        <v>3450</v>
      </c>
      <c r="BI192" s="2" t="str">
        <f>HYPERLINK("https%3A%2F%2Fwww.webofscience.com%2Fwos%2Fwoscc%2Ffull-record%2FWOS:000319466300006","View Full Record in Web of Science")</f>
        <v>View Full Record in Web of Science</v>
      </c>
    </row>
    <row r="193" spans="1:61" customFormat="1" ht="12.75" x14ac:dyDescent="0.2">
      <c r="A193" s="1">
        <v>189</v>
      </c>
      <c r="B193" s="1" t="s">
        <v>1068</v>
      </c>
      <c r="C193" s="1" t="s">
        <v>3451</v>
      </c>
      <c r="D193" s="2" t="s">
        <v>3452</v>
      </c>
      <c r="E193" s="2" t="s">
        <v>3453</v>
      </c>
      <c r="F193" s="3" t="str">
        <f>HYPERLINK("http://dx.doi.org/10.12714/egejfas.39.2.04","http://dx.doi.org/10.12714/egejfas.39.2.04")</f>
        <v>http://dx.doi.org/10.12714/egejfas.39.2.04</v>
      </c>
      <c r="G193" s="2" t="s">
        <v>200</v>
      </c>
      <c r="H193" s="2" t="s">
        <v>3454</v>
      </c>
      <c r="I193" s="2" t="s">
        <v>3455</v>
      </c>
      <c r="J193" s="2" t="s">
        <v>304</v>
      </c>
      <c r="K193" s="2" t="s">
        <v>68</v>
      </c>
      <c r="L193" s="2" t="s">
        <v>3456</v>
      </c>
      <c r="M193" s="2" t="s">
        <v>3457</v>
      </c>
      <c r="N193" s="2" t="s">
        <v>3458</v>
      </c>
      <c r="O193" s="2" t="s">
        <v>3208</v>
      </c>
      <c r="P193" s="2" t="s">
        <v>3459</v>
      </c>
      <c r="Q193" s="2" t="s">
        <v>3460</v>
      </c>
      <c r="R193" s="2" t="s">
        <v>3461</v>
      </c>
      <c r="S193" s="2" t="s">
        <v>3462</v>
      </c>
      <c r="T193" s="2" t="s">
        <v>3463</v>
      </c>
      <c r="U193" s="2" t="s">
        <v>3464</v>
      </c>
      <c r="V193" s="2" t="s">
        <v>3465</v>
      </c>
      <c r="W193" s="2" t="s">
        <v>80</v>
      </c>
      <c r="X193" s="4">
        <v>53</v>
      </c>
      <c r="Y193" s="4">
        <v>1</v>
      </c>
      <c r="Z193" s="4">
        <v>1</v>
      </c>
      <c r="AA193" s="4">
        <v>0</v>
      </c>
      <c r="AB193" s="4">
        <v>6</v>
      </c>
      <c r="AC193" s="2" t="s">
        <v>313</v>
      </c>
      <c r="AD193" s="2" t="s">
        <v>314</v>
      </c>
      <c r="AE193" s="2" t="s">
        <v>315</v>
      </c>
      <c r="AF193" s="2" t="s">
        <v>316</v>
      </c>
      <c r="AG193" s="2" t="s">
        <v>317</v>
      </c>
      <c r="AH193" s="2" t="s">
        <v>86</v>
      </c>
      <c r="AI193" s="2" t="s">
        <v>304</v>
      </c>
      <c r="AJ193" s="2" t="s">
        <v>318</v>
      </c>
      <c r="AK193" s="2" t="s">
        <v>86</v>
      </c>
      <c r="AL193" s="4">
        <v>2022</v>
      </c>
      <c r="AM193" s="4">
        <v>39</v>
      </c>
      <c r="AN193" s="4">
        <v>2</v>
      </c>
      <c r="AO193" s="2" t="s">
        <v>86</v>
      </c>
      <c r="AP193" s="2" t="s">
        <v>86</v>
      </c>
      <c r="AQ193" s="2" t="s">
        <v>86</v>
      </c>
      <c r="AR193" s="2" t="s">
        <v>86</v>
      </c>
      <c r="AS193" s="4">
        <v>111</v>
      </c>
      <c r="AT193" s="4">
        <v>119</v>
      </c>
      <c r="AU193" s="2" t="s">
        <v>86</v>
      </c>
      <c r="AV193" s="2" t="s">
        <v>86</v>
      </c>
      <c r="AW193" s="2" t="s">
        <v>86</v>
      </c>
      <c r="AX193" s="4">
        <v>9</v>
      </c>
      <c r="AY193" s="2" t="s">
        <v>319</v>
      </c>
      <c r="AZ193" s="2" t="s">
        <v>171</v>
      </c>
      <c r="BA193" s="2" t="s">
        <v>319</v>
      </c>
      <c r="BB193" s="2" t="s">
        <v>3466</v>
      </c>
      <c r="BC193" s="2" t="s">
        <v>86</v>
      </c>
      <c r="BD193" s="2" t="s">
        <v>321</v>
      </c>
      <c r="BE193" s="2" t="s">
        <v>86</v>
      </c>
      <c r="BF193" s="2" t="s">
        <v>86</v>
      </c>
      <c r="BG193" s="2" t="s">
        <v>95</v>
      </c>
      <c r="BH193" s="2" t="s">
        <v>3467</v>
      </c>
      <c r="BI193" s="2" t="str">
        <f>HYPERLINK("https%3A%2F%2Fwww.webofscience.com%2Fwos%2Fwoscc%2Ffull-record%2FWOS:000864833600004","View Full Record in Web of Science")</f>
        <v>View Full Record in Web of Science</v>
      </c>
    </row>
    <row r="194" spans="1:61" customFormat="1" ht="12.75" x14ac:dyDescent="0.2">
      <c r="A194" s="1">
        <v>190</v>
      </c>
      <c r="B194" s="1" t="s">
        <v>1068</v>
      </c>
      <c r="C194" s="1" t="s">
        <v>3468</v>
      </c>
      <c r="D194" s="2" t="s">
        <v>3469</v>
      </c>
      <c r="E194" s="2" t="s">
        <v>3470</v>
      </c>
      <c r="F194" s="3" t="str">
        <f>HYPERLINK("http://dx.doi.org/10.1016/j.marpolbul.2022.113322","http://dx.doi.org/10.1016/j.marpolbul.2022.113322")</f>
        <v>http://dx.doi.org/10.1016/j.marpolbul.2022.113322</v>
      </c>
      <c r="G194" s="2" t="s">
        <v>200</v>
      </c>
      <c r="H194" s="2" t="s">
        <v>3471</v>
      </c>
      <c r="I194" s="2" t="s">
        <v>3472</v>
      </c>
      <c r="J194" s="2" t="s">
        <v>424</v>
      </c>
      <c r="K194" s="2" t="s">
        <v>68</v>
      </c>
      <c r="L194" s="2" t="s">
        <v>3473</v>
      </c>
      <c r="M194" s="2" t="s">
        <v>3474</v>
      </c>
      <c r="N194" s="2" t="s">
        <v>3475</v>
      </c>
      <c r="O194" s="2" t="s">
        <v>1078</v>
      </c>
      <c r="P194" s="2" t="s">
        <v>3476</v>
      </c>
      <c r="Q194" s="2" t="s">
        <v>3477</v>
      </c>
      <c r="R194" s="2" t="s">
        <v>3478</v>
      </c>
      <c r="S194" s="2" t="s">
        <v>3479</v>
      </c>
      <c r="T194" s="2" t="s">
        <v>3480</v>
      </c>
      <c r="U194" s="2" t="s">
        <v>3480</v>
      </c>
      <c r="V194" s="2" t="s">
        <v>3481</v>
      </c>
      <c r="W194" s="2" t="s">
        <v>80</v>
      </c>
      <c r="X194" s="4">
        <v>59</v>
      </c>
      <c r="Y194" s="4">
        <v>8</v>
      </c>
      <c r="Z194" s="4">
        <v>8</v>
      </c>
      <c r="AA194" s="4">
        <v>1</v>
      </c>
      <c r="AB194" s="4">
        <v>15</v>
      </c>
      <c r="AC194" s="2" t="s">
        <v>237</v>
      </c>
      <c r="AD194" s="2" t="s">
        <v>115</v>
      </c>
      <c r="AE194" s="2" t="s">
        <v>238</v>
      </c>
      <c r="AF194" s="2" t="s">
        <v>436</v>
      </c>
      <c r="AG194" s="2" t="s">
        <v>437</v>
      </c>
      <c r="AH194" s="2" t="s">
        <v>86</v>
      </c>
      <c r="AI194" s="2" t="s">
        <v>438</v>
      </c>
      <c r="AJ194" s="2" t="s">
        <v>439</v>
      </c>
      <c r="AK194" s="2" t="s">
        <v>146</v>
      </c>
      <c r="AL194" s="4">
        <v>2022</v>
      </c>
      <c r="AM194" s="4">
        <v>175</v>
      </c>
      <c r="AN194" s="2" t="s">
        <v>86</v>
      </c>
      <c r="AO194" s="2" t="s">
        <v>86</v>
      </c>
      <c r="AP194" s="2" t="s">
        <v>86</v>
      </c>
      <c r="AQ194" s="2" t="s">
        <v>86</v>
      </c>
      <c r="AR194" s="2" t="s">
        <v>86</v>
      </c>
      <c r="AS194" s="2" t="s">
        <v>86</v>
      </c>
      <c r="AT194" s="2" t="s">
        <v>86</v>
      </c>
      <c r="AU194" s="4">
        <v>113322</v>
      </c>
      <c r="AV194" s="2" t="s">
        <v>86</v>
      </c>
      <c r="AW194" s="2" t="s">
        <v>268</v>
      </c>
      <c r="AX194" s="4">
        <v>7</v>
      </c>
      <c r="AY194" s="2" t="s">
        <v>441</v>
      </c>
      <c r="AZ194" s="2" t="s">
        <v>92</v>
      </c>
      <c r="BA194" s="2" t="s">
        <v>442</v>
      </c>
      <c r="BB194" s="2" t="s">
        <v>3482</v>
      </c>
      <c r="BC194" s="4">
        <v>35051845</v>
      </c>
      <c r="BD194" s="2" t="s">
        <v>86</v>
      </c>
      <c r="BE194" s="2" t="s">
        <v>86</v>
      </c>
      <c r="BF194" s="2" t="s">
        <v>86</v>
      </c>
      <c r="BG194" s="2" t="s">
        <v>95</v>
      </c>
      <c r="BH194" s="2" t="s">
        <v>3483</v>
      </c>
      <c r="BI194" s="2" t="str">
        <f>HYPERLINK("https%3A%2F%2Fwww.webofscience.com%2Fwos%2Fwoscc%2Ffull-record%2FWOS:000745062800004","View Full Record in Web of Science")</f>
        <v>View Full Record in Web of Science</v>
      </c>
    </row>
    <row r="195" spans="1:61" customFormat="1" ht="12.75" x14ac:dyDescent="0.2">
      <c r="A195" s="1">
        <v>191</v>
      </c>
      <c r="B195" s="1" t="s">
        <v>1068</v>
      </c>
      <c r="C195" s="1" t="s">
        <v>3484</v>
      </c>
      <c r="D195" s="2" t="s">
        <v>3485</v>
      </c>
      <c r="E195" s="2" t="s">
        <v>3486</v>
      </c>
      <c r="F195" s="3" t="str">
        <f>HYPERLINK("http://dx.doi.org/10.1016/j.scitotenv.2021.152092","http://dx.doi.org/10.1016/j.scitotenv.2021.152092")</f>
        <v>http://dx.doi.org/10.1016/j.scitotenv.2021.152092</v>
      </c>
      <c r="G195" s="2" t="s">
        <v>200</v>
      </c>
      <c r="H195" s="2" t="s">
        <v>3487</v>
      </c>
      <c r="I195" s="2" t="s">
        <v>3488</v>
      </c>
      <c r="J195" s="2" t="s">
        <v>576</v>
      </c>
      <c r="K195" s="2" t="s">
        <v>68</v>
      </c>
      <c r="L195" s="2" t="s">
        <v>3489</v>
      </c>
      <c r="M195" s="2" t="s">
        <v>3490</v>
      </c>
      <c r="N195" s="2" t="s">
        <v>3491</v>
      </c>
      <c r="O195" s="2" t="s">
        <v>3492</v>
      </c>
      <c r="P195" s="2" t="s">
        <v>3493</v>
      </c>
      <c r="Q195" s="2" t="s">
        <v>3494</v>
      </c>
      <c r="R195" s="2" t="s">
        <v>3495</v>
      </c>
      <c r="S195" s="2" t="s">
        <v>3496</v>
      </c>
      <c r="T195" s="2" t="s">
        <v>3497</v>
      </c>
      <c r="U195" s="2" t="s">
        <v>3497</v>
      </c>
      <c r="V195" s="2" t="s">
        <v>3498</v>
      </c>
      <c r="W195" s="2" t="s">
        <v>80</v>
      </c>
      <c r="X195" s="4">
        <v>68</v>
      </c>
      <c r="Y195" s="4">
        <v>11</v>
      </c>
      <c r="Z195" s="4">
        <v>11</v>
      </c>
      <c r="AA195" s="4">
        <v>14</v>
      </c>
      <c r="AB195" s="4">
        <v>79</v>
      </c>
      <c r="AC195" s="2" t="s">
        <v>585</v>
      </c>
      <c r="AD195" s="2" t="s">
        <v>586</v>
      </c>
      <c r="AE195" s="2" t="s">
        <v>587</v>
      </c>
      <c r="AF195" s="2" t="s">
        <v>588</v>
      </c>
      <c r="AG195" s="2" t="s">
        <v>589</v>
      </c>
      <c r="AH195" s="2" t="s">
        <v>86</v>
      </c>
      <c r="AI195" s="2" t="s">
        <v>590</v>
      </c>
      <c r="AJ195" s="2" t="s">
        <v>591</v>
      </c>
      <c r="AK195" s="2" t="s">
        <v>3499</v>
      </c>
      <c r="AL195" s="4">
        <v>2022</v>
      </c>
      <c r="AM195" s="4">
        <v>808</v>
      </c>
      <c r="AN195" s="2" t="s">
        <v>86</v>
      </c>
      <c r="AO195" s="2" t="s">
        <v>86</v>
      </c>
      <c r="AP195" s="2" t="s">
        <v>86</v>
      </c>
      <c r="AQ195" s="2" t="s">
        <v>86</v>
      </c>
      <c r="AR195" s="2" t="s">
        <v>86</v>
      </c>
      <c r="AS195" s="2" t="s">
        <v>86</v>
      </c>
      <c r="AT195" s="2" t="s">
        <v>86</v>
      </c>
      <c r="AU195" s="4">
        <v>152092</v>
      </c>
      <c r="AV195" s="2" t="s">
        <v>86</v>
      </c>
      <c r="AW195" s="2" t="s">
        <v>90</v>
      </c>
      <c r="AX195" s="4">
        <v>10</v>
      </c>
      <c r="AY195" s="2" t="s">
        <v>91</v>
      </c>
      <c r="AZ195" s="2" t="s">
        <v>92</v>
      </c>
      <c r="BA195" s="2" t="s">
        <v>93</v>
      </c>
      <c r="BB195" s="2" t="s">
        <v>3500</v>
      </c>
      <c r="BC195" s="4">
        <v>34863762</v>
      </c>
      <c r="BD195" s="2" t="s">
        <v>86</v>
      </c>
      <c r="BE195" s="2" t="s">
        <v>86</v>
      </c>
      <c r="BF195" s="2" t="s">
        <v>86</v>
      </c>
      <c r="BG195" s="2" t="s">
        <v>95</v>
      </c>
      <c r="BH195" s="2" t="s">
        <v>3501</v>
      </c>
      <c r="BI195" s="2" t="str">
        <f>HYPERLINK("https%3A%2F%2Fwww.webofscience.com%2Fwos%2Fwoscc%2Ffull-record%2FWOS:000740226100016","View Full Record in Web of Science")</f>
        <v>View Full Record in Web of Science</v>
      </c>
    </row>
    <row r="196" spans="1:61" customFormat="1" ht="12.75" x14ac:dyDescent="0.2">
      <c r="A196" s="1">
        <v>192</v>
      </c>
      <c r="B196" s="1" t="s">
        <v>1068</v>
      </c>
      <c r="C196" s="1" t="s">
        <v>3502</v>
      </c>
      <c r="D196" s="2" t="s">
        <v>3503</v>
      </c>
      <c r="E196" s="2" t="s">
        <v>3504</v>
      </c>
      <c r="F196" s="3" t="str">
        <f>HYPERLINK("http://dx.doi.org/10.1016/j.marpolbul.2018.09.020","http://dx.doi.org/10.1016/j.marpolbul.2018.09.020")</f>
        <v>http://dx.doi.org/10.1016/j.marpolbul.2018.09.020</v>
      </c>
      <c r="G196" s="2" t="s">
        <v>200</v>
      </c>
      <c r="H196" s="2" t="s">
        <v>3505</v>
      </c>
      <c r="I196" s="2" t="s">
        <v>3506</v>
      </c>
      <c r="J196" s="2" t="s">
        <v>424</v>
      </c>
      <c r="K196" s="2" t="s">
        <v>68</v>
      </c>
      <c r="L196" s="2" t="s">
        <v>3507</v>
      </c>
      <c r="M196" s="2" t="s">
        <v>3508</v>
      </c>
      <c r="N196" s="2" t="s">
        <v>3509</v>
      </c>
      <c r="O196" s="2" t="s">
        <v>3510</v>
      </c>
      <c r="P196" s="2" t="s">
        <v>3511</v>
      </c>
      <c r="Q196" s="2" t="s">
        <v>3512</v>
      </c>
      <c r="R196" s="2" t="s">
        <v>3513</v>
      </c>
      <c r="S196" s="2" t="s">
        <v>3514</v>
      </c>
      <c r="T196" s="2" t="s">
        <v>3515</v>
      </c>
      <c r="U196" s="2" t="s">
        <v>3516</v>
      </c>
      <c r="V196" s="2" t="s">
        <v>3517</v>
      </c>
      <c r="W196" s="2" t="s">
        <v>80</v>
      </c>
      <c r="X196" s="4">
        <v>33</v>
      </c>
      <c r="Y196" s="4">
        <v>30</v>
      </c>
      <c r="Z196" s="4">
        <v>31</v>
      </c>
      <c r="AA196" s="4">
        <v>1</v>
      </c>
      <c r="AB196" s="4">
        <v>20</v>
      </c>
      <c r="AC196" s="2" t="s">
        <v>237</v>
      </c>
      <c r="AD196" s="2" t="s">
        <v>115</v>
      </c>
      <c r="AE196" s="2" t="s">
        <v>238</v>
      </c>
      <c r="AF196" s="2" t="s">
        <v>436</v>
      </c>
      <c r="AG196" s="2" t="s">
        <v>437</v>
      </c>
      <c r="AH196" s="2" t="s">
        <v>86</v>
      </c>
      <c r="AI196" s="2" t="s">
        <v>438</v>
      </c>
      <c r="AJ196" s="2" t="s">
        <v>439</v>
      </c>
      <c r="AK196" s="2" t="s">
        <v>121</v>
      </c>
      <c r="AL196" s="4">
        <v>2018</v>
      </c>
      <c r="AM196" s="4">
        <v>136</v>
      </c>
      <c r="AN196" s="2" t="s">
        <v>86</v>
      </c>
      <c r="AO196" s="2" t="s">
        <v>86</v>
      </c>
      <c r="AP196" s="2" t="s">
        <v>86</v>
      </c>
      <c r="AQ196" s="2" t="s">
        <v>86</v>
      </c>
      <c r="AR196" s="2" t="s">
        <v>86</v>
      </c>
      <c r="AS196" s="4">
        <v>171</v>
      </c>
      <c r="AT196" s="4">
        <v>176</v>
      </c>
      <c r="AU196" s="2" t="s">
        <v>86</v>
      </c>
      <c r="AV196" s="2" t="s">
        <v>86</v>
      </c>
      <c r="AW196" s="2" t="s">
        <v>86</v>
      </c>
      <c r="AX196" s="4">
        <v>6</v>
      </c>
      <c r="AY196" s="2" t="s">
        <v>441</v>
      </c>
      <c r="AZ196" s="2" t="s">
        <v>92</v>
      </c>
      <c r="BA196" s="2" t="s">
        <v>442</v>
      </c>
      <c r="BB196" s="2" t="s">
        <v>3518</v>
      </c>
      <c r="BC196" s="4">
        <v>30509798</v>
      </c>
      <c r="BD196" s="2" t="s">
        <v>86</v>
      </c>
      <c r="BE196" s="2" t="s">
        <v>86</v>
      </c>
      <c r="BF196" s="2" t="s">
        <v>86</v>
      </c>
      <c r="BG196" s="2" t="s">
        <v>95</v>
      </c>
      <c r="BH196" s="2" t="s">
        <v>3519</v>
      </c>
      <c r="BI196" s="2" t="str">
        <f>HYPERLINK("https%3A%2F%2Fwww.webofscience.com%2Fwos%2Fwoscc%2Ffull-record%2FWOS:000450382900020","View Full Record in Web of Science")</f>
        <v>View Full Record in Web of Science</v>
      </c>
    </row>
    <row r="197" spans="1:61" customFormat="1" ht="12.75" x14ac:dyDescent="0.2">
      <c r="A197" s="1">
        <v>193</v>
      </c>
      <c r="B197" s="1" t="s">
        <v>1068</v>
      </c>
      <c r="C197" s="1" t="s">
        <v>3520</v>
      </c>
      <c r="D197" s="2" t="s">
        <v>3521</v>
      </c>
      <c r="E197" s="2" t="s">
        <v>3522</v>
      </c>
      <c r="F197" s="3" t="str">
        <f>HYPERLINK("http://dx.doi.org/10.1016/j.marpolbul.2021.112117","http://dx.doi.org/10.1016/j.marpolbul.2021.112117")</f>
        <v>http://dx.doi.org/10.1016/j.marpolbul.2021.112117</v>
      </c>
      <c r="G197" s="2" t="s">
        <v>200</v>
      </c>
      <c r="H197" s="2" t="s">
        <v>3523</v>
      </c>
      <c r="I197" s="2" t="s">
        <v>3524</v>
      </c>
      <c r="J197" s="2" t="s">
        <v>424</v>
      </c>
      <c r="K197" s="2" t="s">
        <v>68</v>
      </c>
      <c r="L197" s="2" t="s">
        <v>3525</v>
      </c>
      <c r="M197" s="2" t="s">
        <v>3526</v>
      </c>
      <c r="N197" s="2" t="s">
        <v>3527</v>
      </c>
      <c r="O197" s="2" t="s">
        <v>3528</v>
      </c>
      <c r="P197" s="2" t="s">
        <v>3529</v>
      </c>
      <c r="Q197" s="2" t="s">
        <v>3530</v>
      </c>
      <c r="R197" s="2" t="s">
        <v>1795</v>
      </c>
      <c r="S197" s="2" t="s">
        <v>1796</v>
      </c>
      <c r="T197" s="2" t="s">
        <v>86</v>
      </c>
      <c r="U197" s="2" t="s">
        <v>86</v>
      </c>
      <c r="V197" s="2" t="s">
        <v>86</v>
      </c>
      <c r="W197" s="2" t="s">
        <v>80</v>
      </c>
      <c r="X197" s="4">
        <v>36</v>
      </c>
      <c r="Y197" s="4">
        <v>5</v>
      </c>
      <c r="Z197" s="4">
        <v>5</v>
      </c>
      <c r="AA197" s="4">
        <v>0</v>
      </c>
      <c r="AB197" s="4">
        <v>2</v>
      </c>
      <c r="AC197" s="2" t="s">
        <v>237</v>
      </c>
      <c r="AD197" s="2" t="s">
        <v>115</v>
      </c>
      <c r="AE197" s="2" t="s">
        <v>238</v>
      </c>
      <c r="AF197" s="2" t="s">
        <v>436</v>
      </c>
      <c r="AG197" s="2" t="s">
        <v>437</v>
      </c>
      <c r="AH197" s="2" t="s">
        <v>86</v>
      </c>
      <c r="AI197" s="2" t="s">
        <v>438</v>
      </c>
      <c r="AJ197" s="2" t="s">
        <v>439</v>
      </c>
      <c r="AK197" s="2" t="s">
        <v>89</v>
      </c>
      <c r="AL197" s="4">
        <v>2021</v>
      </c>
      <c r="AM197" s="4">
        <v>165</v>
      </c>
      <c r="AN197" s="2" t="s">
        <v>86</v>
      </c>
      <c r="AO197" s="2" t="s">
        <v>86</v>
      </c>
      <c r="AP197" s="2" t="s">
        <v>86</v>
      </c>
      <c r="AQ197" s="2" t="s">
        <v>86</v>
      </c>
      <c r="AR197" s="2" t="s">
        <v>86</v>
      </c>
      <c r="AS197" s="2" t="s">
        <v>86</v>
      </c>
      <c r="AT197" s="2" t="s">
        <v>86</v>
      </c>
      <c r="AU197" s="4">
        <v>112117</v>
      </c>
      <c r="AV197" s="2" t="s">
        <v>86</v>
      </c>
      <c r="AW197" s="2" t="s">
        <v>86</v>
      </c>
      <c r="AX197" s="4">
        <v>10</v>
      </c>
      <c r="AY197" s="2" t="s">
        <v>441</v>
      </c>
      <c r="AZ197" s="2" t="s">
        <v>92</v>
      </c>
      <c r="BA197" s="2" t="s">
        <v>442</v>
      </c>
      <c r="BB197" s="2" t="s">
        <v>3531</v>
      </c>
      <c r="BC197" s="4">
        <v>33607455</v>
      </c>
      <c r="BD197" s="2" t="s">
        <v>86</v>
      </c>
      <c r="BE197" s="2" t="s">
        <v>86</v>
      </c>
      <c r="BF197" s="2" t="s">
        <v>86</v>
      </c>
      <c r="BG197" s="2" t="s">
        <v>95</v>
      </c>
      <c r="BH197" s="2" t="s">
        <v>3532</v>
      </c>
      <c r="BI197" s="2" t="str">
        <f>HYPERLINK("https%3A%2F%2Fwww.webofscience.com%2Fwos%2Fwoscc%2Ffull-record%2FWOS:000636284600014","View Full Record in Web of Science")</f>
        <v>View Full Record in Web of Science</v>
      </c>
    </row>
    <row r="198" spans="1:61" ht="12.75" x14ac:dyDescent="0.2">
      <c r="A198" s="8">
        <v>194</v>
      </c>
      <c r="B198" s="8" t="s">
        <v>1049</v>
      </c>
      <c r="C198" s="8" t="s">
        <v>3533</v>
      </c>
      <c r="D198" s="9" t="s">
        <v>3534</v>
      </c>
      <c r="E198" s="9" t="s">
        <v>3535</v>
      </c>
      <c r="F198" s="11" t="str">
        <f>HYPERLINK("http://dx.doi.org/10.1016/j.marpolbul.2021.113252","http://dx.doi.org/10.1016/j.marpolbul.2021.113252")</f>
        <v>http://dx.doi.org/10.1016/j.marpolbul.2021.113252</v>
      </c>
      <c r="G198" s="9" t="s">
        <v>200</v>
      </c>
      <c r="H198" s="9" t="s">
        <v>3536</v>
      </c>
      <c r="I198" s="9" t="s">
        <v>3537</v>
      </c>
      <c r="J198" s="9" t="s">
        <v>424</v>
      </c>
      <c r="K198" s="9" t="s">
        <v>68</v>
      </c>
      <c r="L198" s="9" t="s">
        <v>3538</v>
      </c>
      <c r="M198" s="9" t="s">
        <v>3539</v>
      </c>
      <c r="N198" s="9" t="s">
        <v>3540</v>
      </c>
      <c r="O198" s="9" t="s">
        <v>1211</v>
      </c>
      <c r="P198" s="9" t="s">
        <v>2104</v>
      </c>
      <c r="Q198" s="9" t="s">
        <v>1634</v>
      </c>
      <c r="R198" s="9" t="s">
        <v>3541</v>
      </c>
      <c r="S198" s="9" t="s">
        <v>1963</v>
      </c>
      <c r="T198" s="9" t="s">
        <v>3542</v>
      </c>
      <c r="U198" s="9" t="s">
        <v>3543</v>
      </c>
      <c r="V198" s="9" t="s">
        <v>3544</v>
      </c>
      <c r="W198" s="9" t="s">
        <v>80</v>
      </c>
      <c r="X198" s="12">
        <v>65</v>
      </c>
      <c r="Y198" s="12">
        <v>17</v>
      </c>
      <c r="Z198" s="12">
        <v>17</v>
      </c>
      <c r="AA198" s="12">
        <v>0</v>
      </c>
      <c r="AB198" s="12">
        <v>23</v>
      </c>
      <c r="AC198" s="9" t="s">
        <v>237</v>
      </c>
      <c r="AD198" s="9" t="s">
        <v>115</v>
      </c>
      <c r="AE198" s="9" t="s">
        <v>238</v>
      </c>
      <c r="AF198" s="9" t="s">
        <v>436</v>
      </c>
      <c r="AG198" s="9" t="s">
        <v>437</v>
      </c>
      <c r="AH198" s="9" t="s">
        <v>86</v>
      </c>
      <c r="AI198" s="9" t="s">
        <v>438</v>
      </c>
      <c r="AJ198" s="9" t="s">
        <v>439</v>
      </c>
      <c r="AK198" s="9" t="s">
        <v>534</v>
      </c>
      <c r="AL198" s="12">
        <v>2022</v>
      </c>
      <c r="AM198" s="12">
        <v>174</v>
      </c>
      <c r="AN198" s="9" t="s">
        <v>86</v>
      </c>
      <c r="AO198" s="9" t="s">
        <v>86</v>
      </c>
      <c r="AP198" s="9" t="s">
        <v>86</v>
      </c>
      <c r="AQ198" s="9" t="s">
        <v>86</v>
      </c>
      <c r="AR198" s="9" t="s">
        <v>86</v>
      </c>
      <c r="AS198" s="9" t="s">
        <v>86</v>
      </c>
      <c r="AT198" s="9" t="s">
        <v>86</v>
      </c>
      <c r="AU198" s="12">
        <v>113252</v>
      </c>
      <c r="AV198" s="9" t="s">
        <v>86</v>
      </c>
      <c r="AW198" s="9" t="s">
        <v>90</v>
      </c>
      <c r="AX198" s="12">
        <v>9</v>
      </c>
      <c r="AY198" s="9" t="s">
        <v>441</v>
      </c>
      <c r="AZ198" s="9" t="s">
        <v>92</v>
      </c>
      <c r="BA198" s="9" t="s">
        <v>442</v>
      </c>
      <c r="BB198" s="9" t="s">
        <v>3545</v>
      </c>
      <c r="BC198" s="12">
        <v>34922227</v>
      </c>
      <c r="BD198" s="9" t="s">
        <v>86</v>
      </c>
      <c r="BE198" s="9" t="s">
        <v>86</v>
      </c>
      <c r="BF198" s="9" t="s">
        <v>86</v>
      </c>
      <c r="BG198" s="9" t="s">
        <v>95</v>
      </c>
      <c r="BH198" s="9" t="s">
        <v>3546</v>
      </c>
      <c r="BI198" s="9" t="str">
        <f>HYPERLINK("https%3A%2F%2Fwww.webofscience.com%2Fwos%2Fwoscc%2Ffull-record%2FWOS:000737215300010","View Full Record in Web of Science")</f>
        <v>View Full Record in Web of Science</v>
      </c>
    </row>
    <row r="199" spans="1:61" customFormat="1" ht="12.75" x14ac:dyDescent="0.2">
      <c r="A199" s="1">
        <v>195</v>
      </c>
      <c r="B199" s="1" t="s">
        <v>1068</v>
      </c>
      <c r="C199" s="1" t="s">
        <v>3547</v>
      </c>
      <c r="D199" s="2" t="s">
        <v>3548</v>
      </c>
      <c r="E199" s="2" t="s">
        <v>3549</v>
      </c>
      <c r="F199" s="3" t="str">
        <f>HYPERLINK("http://dx.doi.org/10.1016/j.envpol.2020.114247","http://dx.doi.org/10.1016/j.envpol.2020.114247")</f>
        <v>http://dx.doi.org/10.1016/j.envpol.2020.114247</v>
      </c>
      <c r="G199" s="2" t="s">
        <v>200</v>
      </c>
      <c r="H199" s="2" t="s">
        <v>3550</v>
      </c>
      <c r="I199" s="2" t="s">
        <v>3551</v>
      </c>
      <c r="J199" s="2" t="s">
        <v>102</v>
      </c>
      <c r="K199" s="2" t="s">
        <v>68</v>
      </c>
      <c r="L199" s="2" t="s">
        <v>3552</v>
      </c>
      <c r="M199" s="2" t="s">
        <v>3553</v>
      </c>
      <c r="N199" s="2" t="s">
        <v>3554</v>
      </c>
      <c r="O199" s="2" t="s">
        <v>2519</v>
      </c>
      <c r="P199" s="2" t="s">
        <v>3555</v>
      </c>
      <c r="Q199" s="2" t="s">
        <v>2732</v>
      </c>
      <c r="R199" s="2" t="s">
        <v>3556</v>
      </c>
      <c r="S199" s="2" t="s">
        <v>3557</v>
      </c>
      <c r="T199" s="2" t="s">
        <v>3558</v>
      </c>
      <c r="U199" s="2" t="s">
        <v>3559</v>
      </c>
      <c r="V199" s="2" t="s">
        <v>3560</v>
      </c>
      <c r="W199" s="2" t="s">
        <v>80</v>
      </c>
      <c r="X199" s="4">
        <v>104</v>
      </c>
      <c r="Y199" s="4">
        <v>62</v>
      </c>
      <c r="Z199" s="4">
        <v>63</v>
      </c>
      <c r="AA199" s="4">
        <v>21</v>
      </c>
      <c r="AB199" s="4">
        <v>122</v>
      </c>
      <c r="AC199" s="2" t="s">
        <v>114</v>
      </c>
      <c r="AD199" s="2" t="s">
        <v>115</v>
      </c>
      <c r="AE199" s="2" t="s">
        <v>116</v>
      </c>
      <c r="AF199" s="2" t="s">
        <v>117</v>
      </c>
      <c r="AG199" s="2" t="s">
        <v>118</v>
      </c>
      <c r="AH199" s="2" t="s">
        <v>86</v>
      </c>
      <c r="AI199" s="2" t="s">
        <v>119</v>
      </c>
      <c r="AJ199" s="2" t="s">
        <v>120</v>
      </c>
      <c r="AK199" s="2" t="s">
        <v>1458</v>
      </c>
      <c r="AL199" s="4">
        <v>2020</v>
      </c>
      <c r="AM199" s="4">
        <v>262</v>
      </c>
      <c r="AN199" s="2" t="s">
        <v>86</v>
      </c>
      <c r="AO199" s="2" t="s">
        <v>86</v>
      </c>
      <c r="AP199" s="2" t="s">
        <v>86</v>
      </c>
      <c r="AQ199" s="2" t="s">
        <v>86</v>
      </c>
      <c r="AR199" s="2" t="s">
        <v>86</v>
      </c>
      <c r="AS199" s="2" t="s">
        <v>86</v>
      </c>
      <c r="AT199" s="2" t="s">
        <v>86</v>
      </c>
      <c r="AU199" s="4">
        <v>114247</v>
      </c>
      <c r="AV199" s="2" t="s">
        <v>86</v>
      </c>
      <c r="AW199" s="2" t="s">
        <v>86</v>
      </c>
      <c r="AX199" s="4">
        <v>12</v>
      </c>
      <c r="AY199" s="2" t="s">
        <v>91</v>
      </c>
      <c r="AZ199" s="2" t="s">
        <v>92</v>
      </c>
      <c r="BA199" s="2" t="s">
        <v>93</v>
      </c>
      <c r="BB199" s="2" t="s">
        <v>3561</v>
      </c>
      <c r="BC199" s="4">
        <v>32120258</v>
      </c>
      <c r="BD199" s="2" t="s">
        <v>86</v>
      </c>
      <c r="BE199" s="2" t="s">
        <v>86</v>
      </c>
      <c r="BF199" s="2" t="s">
        <v>86</v>
      </c>
      <c r="BG199" s="2" t="s">
        <v>95</v>
      </c>
      <c r="BH199" s="2" t="s">
        <v>3562</v>
      </c>
      <c r="BI199" s="2" t="str">
        <f>HYPERLINK("https%3A%2F%2Fwww.webofscience.com%2Fwos%2Fwoscc%2Ffull-record%2FWOS:000533524300072","View Full Record in Web of Science")</f>
        <v>View Full Record in Web of Science</v>
      </c>
    </row>
    <row r="200" spans="1:61" customFormat="1" ht="12.75" x14ac:dyDescent="0.2">
      <c r="A200" s="1">
        <v>196</v>
      </c>
      <c r="B200" s="1" t="s">
        <v>1068</v>
      </c>
      <c r="C200" s="1" t="s">
        <v>3563</v>
      </c>
      <c r="D200" s="2" t="s">
        <v>3564</v>
      </c>
      <c r="E200" s="2" t="s">
        <v>86</v>
      </c>
      <c r="F200" s="2" t="s">
        <v>86</v>
      </c>
      <c r="G200" s="2" t="s">
        <v>176</v>
      </c>
      <c r="H200" s="2" t="s">
        <v>3565</v>
      </c>
      <c r="I200" s="2" t="s">
        <v>3566</v>
      </c>
      <c r="J200" s="2" t="s">
        <v>179</v>
      </c>
      <c r="K200" s="2" t="s">
        <v>68</v>
      </c>
      <c r="L200" s="2" t="s">
        <v>3567</v>
      </c>
      <c r="M200" s="2" t="s">
        <v>86</v>
      </c>
      <c r="N200" s="2" t="s">
        <v>3568</v>
      </c>
      <c r="O200" s="2" t="s">
        <v>3569</v>
      </c>
      <c r="P200" s="2" t="s">
        <v>3570</v>
      </c>
      <c r="Q200" s="2" t="s">
        <v>3571</v>
      </c>
      <c r="R200" s="2" t="s">
        <v>3572</v>
      </c>
      <c r="S200" s="2" t="s">
        <v>3573</v>
      </c>
      <c r="T200" s="2" t="s">
        <v>86</v>
      </c>
      <c r="U200" s="2" t="s">
        <v>86</v>
      </c>
      <c r="V200" s="2" t="s">
        <v>86</v>
      </c>
      <c r="W200" s="2" t="s">
        <v>188</v>
      </c>
      <c r="X200" s="4">
        <v>15</v>
      </c>
      <c r="Y200" s="4">
        <v>7</v>
      </c>
      <c r="Z200" s="4">
        <v>7</v>
      </c>
      <c r="AA200" s="4">
        <v>0</v>
      </c>
      <c r="AB200" s="4">
        <v>0</v>
      </c>
      <c r="AC200" s="2" t="s">
        <v>189</v>
      </c>
      <c r="AD200" s="2" t="s">
        <v>165</v>
      </c>
      <c r="AE200" s="2" t="s">
        <v>190</v>
      </c>
      <c r="AF200" s="2" t="s">
        <v>86</v>
      </c>
      <c r="AG200" s="2" t="s">
        <v>86</v>
      </c>
      <c r="AH200" s="2" t="s">
        <v>191</v>
      </c>
      <c r="AI200" s="2" t="s">
        <v>192</v>
      </c>
      <c r="AJ200" s="2" t="s">
        <v>86</v>
      </c>
      <c r="AK200" s="2" t="s">
        <v>86</v>
      </c>
      <c r="AL200" s="4">
        <v>2020</v>
      </c>
      <c r="AM200" s="4">
        <v>56</v>
      </c>
      <c r="AN200" s="2" t="s">
        <v>86</v>
      </c>
      <c r="AO200" s="2" t="s">
        <v>86</v>
      </c>
      <c r="AP200" s="2" t="s">
        <v>86</v>
      </c>
      <c r="AQ200" s="2" t="s">
        <v>86</v>
      </c>
      <c r="AR200" s="2" t="s">
        <v>86</v>
      </c>
      <c r="AS200" s="4">
        <v>183</v>
      </c>
      <c r="AT200" s="4">
        <v>191</v>
      </c>
      <c r="AU200" s="2" t="s">
        <v>86</v>
      </c>
      <c r="AV200" s="2" t="s">
        <v>86</v>
      </c>
      <c r="AW200" s="2" t="s">
        <v>86</v>
      </c>
      <c r="AX200" s="4">
        <v>9</v>
      </c>
      <c r="AY200" s="2" t="s">
        <v>193</v>
      </c>
      <c r="AZ200" s="2" t="s">
        <v>194</v>
      </c>
      <c r="BA200" s="2" t="s">
        <v>93</v>
      </c>
      <c r="BB200" s="2" t="s">
        <v>195</v>
      </c>
      <c r="BC200" s="2" t="s">
        <v>86</v>
      </c>
      <c r="BD200" s="2" t="s">
        <v>86</v>
      </c>
      <c r="BE200" s="2" t="s">
        <v>86</v>
      </c>
      <c r="BF200" s="2" t="s">
        <v>86</v>
      </c>
      <c r="BG200" s="2" t="s">
        <v>95</v>
      </c>
      <c r="BH200" s="2" t="s">
        <v>3574</v>
      </c>
      <c r="BI200" s="2" t="str">
        <f>HYPERLINK("https%3A%2F%2Fwww.webofscience.com%2Fwos%2Fwoscc%2Ffull-record%2FWOS:000637180200017","View Full Record in Web of Science")</f>
        <v>View Full Record in Web of Science</v>
      </c>
    </row>
    <row r="201" spans="1:61" ht="12.75" x14ac:dyDescent="0.2">
      <c r="A201" s="8">
        <v>197</v>
      </c>
      <c r="B201" s="8" t="s">
        <v>1049</v>
      </c>
      <c r="C201" s="8" t="s">
        <v>3575</v>
      </c>
      <c r="D201" s="9" t="s">
        <v>3576</v>
      </c>
      <c r="E201" s="9" t="s">
        <v>3577</v>
      </c>
      <c r="F201" s="11" t="str">
        <f>HYPERLINK("http://dx.doi.org/10.1007/s11356-021-16243-w","http://dx.doi.org/10.1007/s11356-021-16243-w")</f>
        <v>http://dx.doi.org/10.1007/s11356-021-16243-w</v>
      </c>
      <c r="G201" s="9" t="s">
        <v>200</v>
      </c>
      <c r="H201" s="9" t="s">
        <v>3578</v>
      </c>
      <c r="I201" s="9" t="s">
        <v>3579</v>
      </c>
      <c r="J201" s="9" t="s">
        <v>67</v>
      </c>
      <c r="K201" s="9" t="s">
        <v>68</v>
      </c>
      <c r="L201" s="9" t="s">
        <v>3580</v>
      </c>
      <c r="M201" s="9" t="s">
        <v>3581</v>
      </c>
      <c r="N201" s="9" t="s">
        <v>3582</v>
      </c>
      <c r="O201" s="9" t="s">
        <v>2840</v>
      </c>
      <c r="P201" s="9" t="s">
        <v>3583</v>
      </c>
      <c r="Q201" s="9" t="s">
        <v>283</v>
      </c>
      <c r="R201" s="9" t="s">
        <v>3584</v>
      </c>
      <c r="S201" s="9" t="s">
        <v>3585</v>
      </c>
      <c r="T201" s="9" t="s">
        <v>86</v>
      </c>
      <c r="U201" s="9" t="s">
        <v>86</v>
      </c>
      <c r="V201" s="9" t="s">
        <v>86</v>
      </c>
      <c r="W201" s="9" t="s">
        <v>80</v>
      </c>
      <c r="X201" s="12">
        <v>45</v>
      </c>
      <c r="Y201" s="12">
        <v>20</v>
      </c>
      <c r="Z201" s="12">
        <v>20</v>
      </c>
      <c r="AA201" s="12">
        <v>3</v>
      </c>
      <c r="AB201" s="12">
        <v>42</v>
      </c>
      <c r="AC201" s="9" t="s">
        <v>81</v>
      </c>
      <c r="AD201" s="9" t="s">
        <v>82</v>
      </c>
      <c r="AE201" s="9" t="s">
        <v>83</v>
      </c>
      <c r="AF201" s="9" t="s">
        <v>84</v>
      </c>
      <c r="AG201" s="9" t="s">
        <v>85</v>
      </c>
      <c r="AH201" s="9" t="s">
        <v>86</v>
      </c>
      <c r="AI201" s="9" t="s">
        <v>87</v>
      </c>
      <c r="AJ201" s="9" t="s">
        <v>88</v>
      </c>
      <c r="AK201" s="9" t="s">
        <v>534</v>
      </c>
      <c r="AL201" s="12">
        <v>2022</v>
      </c>
      <c r="AM201" s="12">
        <v>29</v>
      </c>
      <c r="AN201" s="12">
        <v>5</v>
      </c>
      <c r="AO201" s="9" t="s">
        <v>86</v>
      </c>
      <c r="AP201" s="9" t="s">
        <v>86</v>
      </c>
      <c r="AQ201" s="9" t="s">
        <v>86</v>
      </c>
      <c r="AR201" s="9" t="s">
        <v>86</v>
      </c>
      <c r="AS201" s="12">
        <v>7866</v>
      </c>
      <c r="AT201" s="12">
        <v>7876</v>
      </c>
      <c r="AU201" s="9" t="s">
        <v>86</v>
      </c>
      <c r="AV201" s="9" t="s">
        <v>86</v>
      </c>
      <c r="AW201" s="9" t="s">
        <v>2258</v>
      </c>
      <c r="AX201" s="12">
        <v>11</v>
      </c>
      <c r="AY201" s="9" t="s">
        <v>91</v>
      </c>
      <c r="AZ201" s="9" t="s">
        <v>92</v>
      </c>
      <c r="BA201" s="9" t="s">
        <v>93</v>
      </c>
      <c r="BB201" s="9" t="s">
        <v>3586</v>
      </c>
      <c r="BC201" s="12">
        <v>34480701</v>
      </c>
      <c r="BD201" s="9" t="s">
        <v>86</v>
      </c>
      <c r="BE201" s="9" t="s">
        <v>86</v>
      </c>
      <c r="BF201" s="9" t="s">
        <v>86</v>
      </c>
      <c r="BG201" s="9" t="s">
        <v>95</v>
      </c>
      <c r="BH201" s="9" t="s">
        <v>3587</v>
      </c>
      <c r="BI201" s="9" t="str">
        <f>HYPERLINK("https%3A%2F%2Fwww.webofscience.com%2Fwos%2Fwoscc%2Ffull-record%2FWOS:000693525900007","View Full Record in Web of Science")</f>
        <v>View Full Record in Web of Science</v>
      </c>
    </row>
    <row r="202" spans="1:61" customFormat="1" ht="12.75" x14ac:dyDescent="0.2">
      <c r="A202" s="1">
        <v>198</v>
      </c>
      <c r="B202" s="1" t="s">
        <v>1068</v>
      </c>
      <c r="C202" s="1" t="s">
        <v>3588</v>
      </c>
      <c r="D202" s="2" t="s">
        <v>3589</v>
      </c>
      <c r="E202" s="2" t="s">
        <v>3590</v>
      </c>
      <c r="F202" s="3" t="str">
        <f>HYPERLINK("http://dx.doi.org/10.1080/14634988.2010.503684","http://dx.doi.org/10.1080/14634988.2010.503684")</f>
        <v>http://dx.doi.org/10.1080/14634988.2010.503684</v>
      </c>
      <c r="G202" s="2" t="s">
        <v>200</v>
      </c>
      <c r="H202" s="2" t="s">
        <v>3591</v>
      </c>
      <c r="I202" s="2" t="s">
        <v>3592</v>
      </c>
      <c r="J202" s="2" t="s">
        <v>3416</v>
      </c>
      <c r="K202" s="2" t="s">
        <v>68</v>
      </c>
      <c r="L202" s="2" t="s">
        <v>3593</v>
      </c>
      <c r="M202" s="2" t="s">
        <v>3594</v>
      </c>
      <c r="N202" s="2" t="s">
        <v>3595</v>
      </c>
      <c r="O202" s="2" t="s">
        <v>2401</v>
      </c>
      <c r="P202" s="2" t="s">
        <v>3596</v>
      </c>
      <c r="Q202" s="2" t="s">
        <v>3285</v>
      </c>
      <c r="R202" s="2" t="s">
        <v>3597</v>
      </c>
      <c r="S202" s="2" t="s">
        <v>3598</v>
      </c>
      <c r="T202" s="2" t="s">
        <v>86</v>
      </c>
      <c r="U202" s="2" t="s">
        <v>86</v>
      </c>
      <c r="V202" s="2" t="s">
        <v>86</v>
      </c>
      <c r="W202" s="2" t="s">
        <v>80</v>
      </c>
      <c r="X202" s="4">
        <v>20</v>
      </c>
      <c r="Y202" s="4">
        <v>47</v>
      </c>
      <c r="Z202" s="4">
        <v>47</v>
      </c>
      <c r="AA202" s="4">
        <v>0</v>
      </c>
      <c r="AB202" s="4">
        <v>23</v>
      </c>
      <c r="AC202" s="2" t="s">
        <v>260</v>
      </c>
      <c r="AD202" s="2" t="s">
        <v>261</v>
      </c>
      <c r="AE202" s="2" t="s">
        <v>262</v>
      </c>
      <c r="AF202" s="2" t="s">
        <v>3428</v>
      </c>
      <c r="AG202" s="2" t="s">
        <v>3429</v>
      </c>
      <c r="AH202" s="2" t="s">
        <v>86</v>
      </c>
      <c r="AI202" s="2" t="s">
        <v>3430</v>
      </c>
      <c r="AJ202" s="2" t="s">
        <v>3431</v>
      </c>
      <c r="AK202" s="2" t="s">
        <v>86</v>
      </c>
      <c r="AL202" s="4">
        <v>2010</v>
      </c>
      <c r="AM202" s="4">
        <v>13</v>
      </c>
      <c r="AN202" s="4">
        <v>3</v>
      </c>
      <c r="AO202" s="2" t="s">
        <v>86</v>
      </c>
      <c r="AP202" s="2" t="s">
        <v>86</v>
      </c>
      <c r="AQ202" s="2" t="s">
        <v>86</v>
      </c>
      <c r="AR202" s="2" t="s">
        <v>86</v>
      </c>
      <c r="AS202" s="4">
        <v>301</v>
      </c>
      <c r="AT202" s="4">
        <v>306</v>
      </c>
      <c r="AU202" s="2" t="s">
        <v>86</v>
      </c>
      <c r="AV202" s="2" t="s">
        <v>86</v>
      </c>
      <c r="AW202" s="2" t="s">
        <v>86</v>
      </c>
      <c r="AX202" s="4">
        <v>6</v>
      </c>
      <c r="AY202" s="2" t="s">
        <v>3432</v>
      </c>
      <c r="AZ202" s="2" t="s">
        <v>92</v>
      </c>
      <c r="BA202" s="2" t="s">
        <v>3433</v>
      </c>
      <c r="BB202" s="2" t="s">
        <v>3599</v>
      </c>
      <c r="BC202" s="2" t="s">
        <v>86</v>
      </c>
      <c r="BD202" s="2" t="s">
        <v>86</v>
      </c>
      <c r="BE202" s="2" t="s">
        <v>86</v>
      </c>
      <c r="BF202" s="2" t="s">
        <v>86</v>
      </c>
      <c r="BG202" s="2" t="s">
        <v>95</v>
      </c>
      <c r="BH202" s="2" t="s">
        <v>3600</v>
      </c>
      <c r="BI202" s="2" t="str">
        <f>HYPERLINK("https%3A%2F%2Fwww.webofscience.com%2Fwos%2Fwoscc%2Ffull-record%2FWOS:000281763400009","View Full Record in Web of Science")</f>
        <v>View Full Record in Web of Science</v>
      </c>
    </row>
    <row r="203" spans="1:61" customFormat="1" ht="12.75" x14ac:dyDescent="0.2">
      <c r="A203" s="1">
        <v>199</v>
      </c>
      <c r="B203" s="1" t="s">
        <v>1068</v>
      </c>
      <c r="C203" s="1" t="s">
        <v>3601</v>
      </c>
      <c r="D203" s="2" t="s">
        <v>3602</v>
      </c>
      <c r="E203" s="2" t="s">
        <v>3603</v>
      </c>
      <c r="F203" s="3" t="str">
        <f>HYPERLINK("http://dx.doi.org/10.1016/j.scitotenv.2022.156391","http://dx.doi.org/10.1016/j.scitotenv.2022.156391")</f>
        <v>http://dx.doi.org/10.1016/j.scitotenv.2022.156391</v>
      </c>
      <c r="G203" s="2" t="s">
        <v>200</v>
      </c>
      <c r="H203" s="2" t="s">
        <v>3604</v>
      </c>
      <c r="I203" s="2" t="s">
        <v>3605</v>
      </c>
      <c r="J203" s="2" t="s">
        <v>576</v>
      </c>
      <c r="K203" s="2" t="s">
        <v>68</v>
      </c>
      <c r="L203" s="2" t="s">
        <v>3606</v>
      </c>
      <c r="M203" s="2" t="s">
        <v>3607</v>
      </c>
      <c r="N203" s="2" t="s">
        <v>3608</v>
      </c>
      <c r="O203" s="2" t="s">
        <v>3609</v>
      </c>
      <c r="P203" s="2" t="s">
        <v>3610</v>
      </c>
      <c r="Q203" s="2" t="s">
        <v>3494</v>
      </c>
      <c r="R203" s="2" t="s">
        <v>3611</v>
      </c>
      <c r="S203" s="2" t="s">
        <v>3612</v>
      </c>
      <c r="T203" s="2" t="s">
        <v>86</v>
      </c>
      <c r="U203" s="2" t="s">
        <v>86</v>
      </c>
      <c r="V203" s="2" t="s">
        <v>86</v>
      </c>
      <c r="W203" s="2" t="s">
        <v>80</v>
      </c>
      <c r="X203" s="4">
        <v>46</v>
      </c>
      <c r="Y203" s="4">
        <v>6</v>
      </c>
      <c r="Z203" s="4">
        <v>6</v>
      </c>
      <c r="AA203" s="4">
        <v>13</v>
      </c>
      <c r="AB203" s="4">
        <v>44</v>
      </c>
      <c r="AC203" s="2" t="s">
        <v>585</v>
      </c>
      <c r="AD203" s="2" t="s">
        <v>586</v>
      </c>
      <c r="AE203" s="2" t="s">
        <v>587</v>
      </c>
      <c r="AF203" s="2" t="s">
        <v>588</v>
      </c>
      <c r="AG203" s="2" t="s">
        <v>589</v>
      </c>
      <c r="AH203" s="2" t="s">
        <v>86</v>
      </c>
      <c r="AI203" s="2" t="s">
        <v>590</v>
      </c>
      <c r="AJ203" s="2" t="s">
        <v>591</v>
      </c>
      <c r="AK203" s="2" t="s">
        <v>3613</v>
      </c>
      <c r="AL203" s="4">
        <v>2022</v>
      </c>
      <c r="AM203" s="4">
        <v>838</v>
      </c>
      <c r="AN203" s="2" t="s">
        <v>86</v>
      </c>
      <c r="AO203" s="4">
        <v>3</v>
      </c>
      <c r="AP203" s="2" t="s">
        <v>86</v>
      </c>
      <c r="AQ203" s="2" t="s">
        <v>86</v>
      </c>
      <c r="AR203" s="2" t="s">
        <v>86</v>
      </c>
      <c r="AS203" s="2" t="s">
        <v>86</v>
      </c>
      <c r="AT203" s="2" t="s">
        <v>86</v>
      </c>
      <c r="AU203" s="4">
        <v>156391</v>
      </c>
      <c r="AV203" s="2" t="s">
        <v>86</v>
      </c>
      <c r="AW203" s="2" t="s">
        <v>1289</v>
      </c>
      <c r="AX203" s="4">
        <v>9</v>
      </c>
      <c r="AY203" s="2" t="s">
        <v>91</v>
      </c>
      <c r="AZ203" s="2" t="s">
        <v>92</v>
      </c>
      <c r="BA203" s="2" t="s">
        <v>93</v>
      </c>
      <c r="BB203" s="2" t="s">
        <v>3614</v>
      </c>
      <c r="BC203" s="4">
        <v>35654199</v>
      </c>
      <c r="BD203" s="2" t="s">
        <v>86</v>
      </c>
      <c r="BE203" s="2" t="s">
        <v>86</v>
      </c>
      <c r="BF203" s="2" t="s">
        <v>86</v>
      </c>
      <c r="BG203" s="2" t="s">
        <v>95</v>
      </c>
      <c r="BH203" s="2" t="s">
        <v>3615</v>
      </c>
      <c r="BI203" s="2" t="str">
        <f>HYPERLINK("https%3A%2F%2Fwww.webofscience.com%2Fwos%2Fwoscc%2Ffull-record%2FWOS:000809761500012","View Full Record in Web of Science")</f>
        <v>View Full Record in Web of Science</v>
      </c>
    </row>
    <row r="204" spans="1:61" customFormat="1" ht="12.75" x14ac:dyDescent="0.2">
      <c r="A204" s="1">
        <v>200</v>
      </c>
      <c r="B204" s="1" t="s">
        <v>1068</v>
      </c>
      <c r="C204" s="1" t="s">
        <v>3616</v>
      </c>
      <c r="D204" s="2" t="s">
        <v>3617</v>
      </c>
      <c r="E204" s="2" t="s">
        <v>3618</v>
      </c>
      <c r="F204" s="3" t="str">
        <f>HYPERLINK("http://dx.doi.org/10.1016/j.marpolbul.2017.04.041","http://dx.doi.org/10.1016/j.marpolbul.2017.04.041")</f>
        <v>http://dx.doi.org/10.1016/j.marpolbul.2017.04.041</v>
      </c>
      <c r="G204" s="2" t="s">
        <v>200</v>
      </c>
      <c r="H204" s="2" t="s">
        <v>3038</v>
      </c>
      <c r="I204" s="2" t="s">
        <v>3039</v>
      </c>
      <c r="J204" s="2" t="s">
        <v>424</v>
      </c>
      <c r="K204" s="2" t="s">
        <v>68</v>
      </c>
      <c r="L204" s="2" t="s">
        <v>3619</v>
      </c>
      <c r="M204" s="2" t="s">
        <v>3620</v>
      </c>
      <c r="N204" s="2" t="s">
        <v>3621</v>
      </c>
      <c r="O204" s="2" t="s">
        <v>624</v>
      </c>
      <c r="P204" s="2" t="s">
        <v>3622</v>
      </c>
      <c r="Q204" s="2" t="s">
        <v>2012</v>
      </c>
      <c r="R204" s="2" t="s">
        <v>3623</v>
      </c>
      <c r="S204" s="2" t="s">
        <v>3624</v>
      </c>
      <c r="T204" s="2" t="s">
        <v>3625</v>
      </c>
      <c r="U204" s="2" t="s">
        <v>3626</v>
      </c>
      <c r="V204" s="2" t="s">
        <v>3627</v>
      </c>
      <c r="W204" s="2" t="s">
        <v>80</v>
      </c>
      <c r="X204" s="4">
        <v>22</v>
      </c>
      <c r="Y204" s="4">
        <v>58</v>
      </c>
      <c r="Z204" s="4">
        <v>61</v>
      </c>
      <c r="AA204" s="4">
        <v>0</v>
      </c>
      <c r="AB204" s="4">
        <v>38</v>
      </c>
      <c r="AC204" s="2" t="s">
        <v>237</v>
      </c>
      <c r="AD204" s="2" t="s">
        <v>115</v>
      </c>
      <c r="AE204" s="2" t="s">
        <v>238</v>
      </c>
      <c r="AF204" s="2" t="s">
        <v>436</v>
      </c>
      <c r="AG204" s="2" t="s">
        <v>437</v>
      </c>
      <c r="AH204" s="2" t="s">
        <v>86</v>
      </c>
      <c r="AI204" s="2" t="s">
        <v>438</v>
      </c>
      <c r="AJ204" s="2" t="s">
        <v>439</v>
      </c>
      <c r="AK204" s="2" t="s">
        <v>3628</v>
      </c>
      <c r="AL204" s="4">
        <v>2017</v>
      </c>
      <c r="AM204" s="4">
        <v>120</v>
      </c>
      <c r="AN204" s="2" t="s">
        <v>1532</v>
      </c>
      <c r="AO204" s="2" t="s">
        <v>86</v>
      </c>
      <c r="AP204" s="2" t="s">
        <v>86</v>
      </c>
      <c r="AQ204" s="2" t="s">
        <v>86</v>
      </c>
      <c r="AR204" s="2" t="s">
        <v>86</v>
      </c>
      <c r="AS204" s="4">
        <v>154</v>
      </c>
      <c r="AT204" s="4">
        <v>158</v>
      </c>
      <c r="AU204" s="2" t="s">
        <v>86</v>
      </c>
      <c r="AV204" s="2" t="s">
        <v>86</v>
      </c>
      <c r="AW204" s="2" t="s">
        <v>86</v>
      </c>
      <c r="AX204" s="4">
        <v>5</v>
      </c>
      <c r="AY204" s="2" t="s">
        <v>441</v>
      </c>
      <c r="AZ204" s="2" t="s">
        <v>92</v>
      </c>
      <c r="BA204" s="2" t="s">
        <v>442</v>
      </c>
      <c r="BB204" s="2" t="s">
        <v>3629</v>
      </c>
      <c r="BC204" s="4">
        <v>28502454</v>
      </c>
      <c r="BD204" s="2" t="s">
        <v>86</v>
      </c>
      <c r="BE204" s="2" t="s">
        <v>86</v>
      </c>
      <c r="BF204" s="2" t="s">
        <v>86</v>
      </c>
      <c r="BG204" s="2" t="s">
        <v>95</v>
      </c>
      <c r="BH204" s="2" t="s">
        <v>3630</v>
      </c>
      <c r="BI204" s="2" t="str">
        <f>HYPERLINK("https%3A%2F%2Fwww.webofscience.com%2Fwos%2Fwoscc%2Ffull-record%2FWOS:000407539300028","View Full Record in Web of Science")</f>
        <v>View Full Record in Web of Science</v>
      </c>
    </row>
    <row r="205" spans="1:61" customFormat="1" ht="12.75" x14ac:dyDescent="0.2">
      <c r="A205" s="1">
        <v>201</v>
      </c>
      <c r="B205" s="1" t="s">
        <v>1068</v>
      </c>
      <c r="C205" s="1" t="s">
        <v>3631</v>
      </c>
      <c r="D205" s="2" t="s">
        <v>3632</v>
      </c>
      <c r="E205" s="2" t="s">
        <v>3633</v>
      </c>
      <c r="F205" s="3" t="str">
        <f>HYPERLINK("http://dx.doi.org/10.1016/j.marpolbul.2019.110833","http://dx.doi.org/10.1016/j.marpolbul.2019.110833")</f>
        <v>http://dx.doi.org/10.1016/j.marpolbul.2019.110833</v>
      </c>
      <c r="G205" s="2" t="s">
        <v>200</v>
      </c>
      <c r="H205" s="2" t="s">
        <v>3634</v>
      </c>
      <c r="I205" s="2" t="s">
        <v>3635</v>
      </c>
      <c r="J205" s="2" t="s">
        <v>424</v>
      </c>
      <c r="K205" s="2" t="s">
        <v>68</v>
      </c>
      <c r="L205" s="2" t="s">
        <v>3636</v>
      </c>
      <c r="M205" s="2" t="s">
        <v>3637</v>
      </c>
      <c r="N205" s="2" t="s">
        <v>3638</v>
      </c>
      <c r="O205" s="2" t="s">
        <v>3639</v>
      </c>
      <c r="P205" s="2" t="s">
        <v>3640</v>
      </c>
      <c r="Q205" s="2" t="s">
        <v>3641</v>
      </c>
      <c r="R205" s="2" t="s">
        <v>3642</v>
      </c>
      <c r="S205" s="2" t="s">
        <v>3643</v>
      </c>
      <c r="T205" s="2" t="s">
        <v>3644</v>
      </c>
      <c r="U205" s="2" t="s">
        <v>2572</v>
      </c>
      <c r="V205" s="2" t="s">
        <v>3645</v>
      </c>
      <c r="W205" s="2" t="s">
        <v>80</v>
      </c>
      <c r="X205" s="4">
        <v>56</v>
      </c>
      <c r="Y205" s="4">
        <v>16</v>
      </c>
      <c r="Z205" s="4">
        <v>16</v>
      </c>
      <c r="AA205" s="4">
        <v>0</v>
      </c>
      <c r="AB205" s="4">
        <v>14</v>
      </c>
      <c r="AC205" s="2" t="s">
        <v>237</v>
      </c>
      <c r="AD205" s="2" t="s">
        <v>115</v>
      </c>
      <c r="AE205" s="2" t="s">
        <v>238</v>
      </c>
      <c r="AF205" s="2" t="s">
        <v>436</v>
      </c>
      <c r="AG205" s="2" t="s">
        <v>437</v>
      </c>
      <c r="AH205" s="2" t="s">
        <v>86</v>
      </c>
      <c r="AI205" s="2" t="s">
        <v>438</v>
      </c>
      <c r="AJ205" s="2" t="s">
        <v>439</v>
      </c>
      <c r="AK205" s="2" t="s">
        <v>146</v>
      </c>
      <c r="AL205" s="4">
        <v>2020</v>
      </c>
      <c r="AM205" s="4">
        <v>151</v>
      </c>
      <c r="AN205" s="2" t="s">
        <v>86</v>
      </c>
      <c r="AO205" s="2" t="s">
        <v>86</v>
      </c>
      <c r="AP205" s="2" t="s">
        <v>86</v>
      </c>
      <c r="AQ205" s="2" t="s">
        <v>86</v>
      </c>
      <c r="AR205" s="2" t="s">
        <v>86</v>
      </c>
      <c r="AS205" s="2" t="s">
        <v>86</v>
      </c>
      <c r="AT205" s="2" t="s">
        <v>86</v>
      </c>
      <c r="AU205" s="4">
        <v>110833</v>
      </c>
      <c r="AV205" s="2" t="s">
        <v>86</v>
      </c>
      <c r="AW205" s="2" t="s">
        <v>86</v>
      </c>
      <c r="AX205" s="4">
        <v>14</v>
      </c>
      <c r="AY205" s="2" t="s">
        <v>441</v>
      </c>
      <c r="AZ205" s="2" t="s">
        <v>92</v>
      </c>
      <c r="BA205" s="2" t="s">
        <v>442</v>
      </c>
      <c r="BB205" s="2" t="s">
        <v>3646</v>
      </c>
      <c r="BC205" s="4">
        <v>32056623</v>
      </c>
      <c r="BD205" s="2" t="s">
        <v>86</v>
      </c>
      <c r="BE205" s="2" t="s">
        <v>86</v>
      </c>
      <c r="BF205" s="2" t="s">
        <v>86</v>
      </c>
      <c r="BG205" s="2" t="s">
        <v>95</v>
      </c>
      <c r="BH205" s="2" t="s">
        <v>3647</v>
      </c>
      <c r="BI205" s="2" t="str">
        <f>HYPERLINK("https%3A%2F%2Fwww.webofscience.com%2Fwos%2Fwoscc%2Ffull-record%2FWOS:000514758400019","View Full Record in Web of Science")</f>
        <v>View Full Record in Web of Science</v>
      </c>
    </row>
    <row r="206" spans="1:61" customFormat="1" ht="12.75" x14ac:dyDescent="0.2">
      <c r="A206" s="1">
        <v>202</v>
      </c>
      <c r="B206" s="1" t="s">
        <v>1068</v>
      </c>
      <c r="C206" s="1" t="s">
        <v>3648</v>
      </c>
      <c r="D206" s="2" t="s">
        <v>3649</v>
      </c>
      <c r="E206" s="2" t="s">
        <v>3650</v>
      </c>
      <c r="F206" s="3" t="str">
        <f>HYPERLINK("http://dx.doi.org/10.1007/s10661-020-08474-0","http://dx.doi.org/10.1007/s10661-020-08474-0")</f>
        <v>http://dx.doi.org/10.1007/s10661-020-08474-0</v>
      </c>
      <c r="G206" s="2" t="s">
        <v>200</v>
      </c>
      <c r="H206" s="2" t="s">
        <v>3651</v>
      </c>
      <c r="I206" s="2" t="s">
        <v>3652</v>
      </c>
      <c r="J206" s="2" t="s">
        <v>401</v>
      </c>
      <c r="K206" s="2" t="s">
        <v>68</v>
      </c>
      <c r="L206" s="2" t="s">
        <v>3653</v>
      </c>
      <c r="M206" s="2" t="s">
        <v>3654</v>
      </c>
      <c r="N206" s="2" t="s">
        <v>3655</v>
      </c>
      <c r="O206" s="2" t="s">
        <v>3656</v>
      </c>
      <c r="P206" s="2" t="s">
        <v>3657</v>
      </c>
      <c r="Q206" s="2" t="s">
        <v>3658</v>
      </c>
      <c r="R206" s="2" t="s">
        <v>3659</v>
      </c>
      <c r="S206" s="2" t="s">
        <v>3660</v>
      </c>
      <c r="T206" s="2" t="s">
        <v>86</v>
      </c>
      <c r="U206" s="2" t="s">
        <v>86</v>
      </c>
      <c r="V206" s="2" t="s">
        <v>86</v>
      </c>
      <c r="W206" s="2" t="s">
        <v>80</v>
      </c>
      <c r="X206" s="4">
        <v>35</v>
      </c>
      <c r="Y206" s="4">
        <v>4</v>
      </c>
      <c r="Z206" s="4">
        <v>4</v>
      </c>
      <c r="AA206" s="4">
        <v>0</v>
      </c>
      <c r="AB206" s="4">
        <v>8</v>
      </c>
      <c r="AC206" s="2" t="s">
        <v>139</v>
      </c>
      <c r="AD206" s="2" t="s">
        <v>140</v>
      </c>
      <c r="AE206" s="2" t="s">
        <v>141</v>
      </c>
      <c r="AF206" s="2" t="s">
        <v>412</v>
      </c>
      <c r="AG206" s="2" t="s">
        <v>413</v>
      </c>
      <c r="AH206" s="2" t="s">
        <v>86</v>
      </c>
      <c r="AI206" s="2" t="s">
        <v>414</v>
      </c>
      <c r="AJ206" s="2" t="s">
        <v>415</v>
      </c>
      <c r="AK206" s="2" t="s">
        <v>3661</v>
      </c>
      <c r="AL206" s="4">
        <v>2020</v>
      </c>
      <c r="AM206" s="4">
        <v>192</v>
      </c>
      <c r="AN206" s="4">
        <v>8</v>
      </c>
      <c r="AO206" s="2" t="s">
        <v>86</v>
      </c>
      <c r="AP206" s="2" t="s">
        <v>86</v>
      </c>
      <c r="AQ206" s="2" t="s">
        <v>86</v>
      </c>
      <c r="AR206" s="2" t="s">
        <v>86</v>
      </c>
      <c r="AS206" s="2" t="s">
        <v>86</v>
      </c>
      <c r="AT206" s="2" t="s">
        <v>86</v>
      </c>
      <c r="AU206" s="4">
        <v>508</v>
      </c>
      <c r="AV206" s="2" t="s">
        <v>86</v>
      </c>
      <c r="AW206" s="2" t="s">
        <v>86</v>
      </c>
      <c r="AX206" s="4">
        <v>7</v>
      </c>
      <c r="AY206" s="2" t="s">
        <v>91</v>
      </c>
      <c r="AZ206" s="2" t="s">
        <v>92</v>
      </c>
      <c r="BA206" s="2" t="s">
        <v>93</v>
      </c>
      <c r="BB206" s="2" t="s">
        <v>3662</v>
      </c>
      <c r="BC206" s="4">
        <v>32656575</v>
      </c>
      <c r="BD206" s="2" t="s">
        <v>86</v>
      </c>
      <c r="BE206" s="2" t="s">
        <v>86</v>
      </c>
      <c r="BF206" s="2" t="s">
        <v>86</v>
      </c>
      <c r="BG206" s="2" t="s">
        <v>95</v>
      </c>
      <c r="BH206" s="2" t="s">
        <v>3663</v>
      </c>
      <c r="BI206" s="2" t="str">
        <f>HYPERLINK("https%3A%2F%2Fwww.webofscience.com%2Fwos%2Fwoscc%2Ffull-record%2FWOS:000552601400001","View Full Record in Web of Science")</f>
        <v>View Full Record in Web of Science</v>
      </c>
    </row>
    <row r="207" spans="1:61" customFormat="1" ht="12.75" x14ac:dyDescent="0.2">
      <c r="A207" s="1">
        <v>203</v>
      </c>
      <c r="B207" s="1" t="s">
        <v>1068</v>
      </c>
      <c r="C207" s="1" t="s">
        <v>3664</v>
      </c>
      <c r="D207" s="2" t="s">
        <v>3665</v>
      </c>
      <c r="E207" s="2" t="s">
        <v>3666</v>
      </c>
      <c r="F207" s="3" t="str">
        <f>HYPERLINK("http://dx.doi.org/10.1007/s10661-022-10105-9","http://dx.doi.org/10.1007/s10661-022-10105-9")</f>
        <v>http://dx.doi.org/10.1007/s10661-022-10105-9</v>
      </c>
      <c r="G207" s="2" t="s">
        <v>200</v>
      </c>
      <c r="H207" s="2" t="s">
        <v>3667</v>
      </c>
      <c r="I207" s="2" t="s">
        <v>3668</v>
      </c>
      <c r="J207" s="2" t="s">
        <v>401</v>
      </c>
      <c r="K207" s="2" t="s">
        <v>68</v>
      </c>
      <c r="L207" s="2" t="s">
        <v>3669</v>
      </c>
      <c r="M207" s="2" t="s">
        <v>3670</v>
      </c>
      <c r="N207" s="2" t="s">
        <v>3671</v>
      </c>
      <c r="O207" s="2" t="s">
        <v>1502</v>
      </c>
      <c r="P207" s="2" t="s">
        <v>2696</v>
      </c>
      <c r="Q207" s="2" t="s">
        <v>3672</v>
      </c>
      <c r="R207" s="2" t="s">
        <v>3673</v>
      </c>
      <c r="S207" s="2" t="s">
        <v>3674</v>
      </c>
      <c r="T207" s="2" t="s">
        <v>3675</v>
      </c>
      <c r="U207" s="2" t="s">
        <v>434</v>
      </c>
      <c r="V207" s="2" t="s">
        <v>3676</v>
      </c>
      <c r="W207" s="2" t="s">
        <v>80</v>
      </c>
      <c r="X207" s="4">
        <v>93</v>
      </c>
      <c r="Y207" s="4">
        <v>0</v>
      </c>
      <c r="Z207" s="4">
        <v>0</v>
      </c>
      <c r="AA207" s="4">
        <v>2</v>
      </c>
      <c r="AB207" s="4">
        <v>8</v>
      </c>
      <c r="AC207" s="2" t="s">
        <v>139</v>
      </c>
      <c r="AD207" s="2" t="s">
        <v>140</v>
      </c>
      <c r="AE207" s="2" t="s">
        <v>141</v>
      </c>
      <c r="AF207" s="2" t="s">
        <v>412</v>
      </c>
      <c r="AG207" s="2" t="s">
        <v>413</v>
      </c>
      <c r="AH207" s="2" t="s">
        <v>86</v>
      </c>
      <c r="AI207" s="2" t="s">
        <v>414</v>
      </c>
      <c r="AJ207" s="2" t="s">
        <v>415</v>
      </c>
      <c r="AK207" s="2" t="s">
        <v>1458</v>
      </c>
      <c r="AL207" s="4">
        <v>2022</v>
      </c>
      <c r="AM207" s="4">
        <v>194</v>
      </c>
      <c r="AN207" s="4">
        <v>7</v>
      </c>
      <c r="AO207" s="2" t="s">
        <v>86</v>
      </c>
      <c r="AP207" s="2" t="s">
        <v>86</v>
      </c>
      <c r="AQ207" s="2" t="s">
        <v>86</v>
      </c>
      <c r="AR207" s="2" t="s">
        <v>86</v>
      </c>
      <c r="AS207" s="2" t="s">
        <v>86</v>
      </c>
      <c r="AT207" s="2" t="s">
        <v>86</v>
      </c>
      <c r="AU207" s="4">
        <v>462</v>
      </c>
      <c r="AV207" s="2" t="s">
        <v>86</v>
      </c>
      <c r="AW207" s="2" t="s">
        <v>86</v>
      </c>
      <c r="AX207" s="4">
        <v>22</v>
      </c>
      <c r="AY207" s="2" t="s">
        <v>91</v>
      </c>
      <c r="AZ207" s="2" t="s">
        <v>92</v>
      </c>
      <c r="BA207" s="2" t="s">
        <v>93</v>
      </c>
      <c r="BB207" s="2" t="s">
        <v>3677</v>
      </c>
      <c r="BC207" s="4">
        <v>35644795</v>
      </c>
      <c r="BD207" s="2" t="s">
        <v>3273</v>
      </c>
      <c r="BE207" s="2" t="s">
        <v>86</v>
      </c>
      <c r="BF207" s="2" t="s">
        <v>86</v>
      </c>
      <c r="BG207" s="2" t="s">
        <v>95</v>
      </c>
      <c r="BH207" s="2" t="s">
        <v>3678</v>
      </c>
      <c r="BI207" s="2" t="str">
        <f>HYPERLINK("https%3A%2F%2Fwww.webofscience.com%2Fwos%2Fwoscc%2Ffull-record%2FWOS:000802120300001","View Full Record in Web of Science")</f>
        <v>View Full Record in Web of Science</v>
      </c>
    </row>
    <row r="208" spans="1:61" customFormat="1" ht="12.75" x14ac:dyDescent="0.2">
      <c r="A208" s="1">
        <v>204</v>
      </c>
      <c r="B208" s="1" t="s">
        <v>1068</v>
      </c>
      <c r="C208" s="1" t="s">
        <v>3679</v>
      </c>
      <c r="D208" s="2" t="s">
        <v>3680</v>
      </c>
      <c r="E208" s="2" t="s">
        <v>86</v>
      </c>
      <c r="F208" s="2" t="s">
        <v>86</v>
      </c>
      <c r="G208" s="2" t="s">
        <v>200</v>
      </c>
      <c r="H208" s="2" t="s">
        <v>3681</v>
      </c>
      <c r="I208" s="2" t="s">
        <v>3682</v>
      </c>
      <c r="J208" s="2" t="s">
        <v>1918</v>
      </c>
      <c r="K208" s="2" t="s">
        <v>68</v>
      </c>
      <c r="L208" s="2" t="s">
        <v>3683</v>
      </c>
      <c r="M208" s="2" t="s">
        <v>3684</v>
      </c>
      <c r="N208" s="2" t="s">
        <v>3685</v>
      </c>
      <c r="O208" s="2" t="s">
        <v>183</v>
      </c>
      <c r="P208" s="2" t="s">
        <v>3686</v>
      </c>
      <c r="Q208" s="2" t="s">
        <v>3687</v>
      </c>
      <c r="R208" s="2" t="s">
        <v>1081</v>
      </c>
      <c r="S208" s="2" t="s">
        <v>1082</v>
      </c>
      <c r="T208" s="2" t="s">
        <v>86</v>
      </c>
      <c r="U208" s="2" t="s">
        <v>86</v>
      </c>
      <c r="V208" s="2" t="s">
        <v>86</v>
      </c>
      <c r="W208" s="2" t="s">
        <v>80</v>
      </c>
      <c r="X208" s="4">
        <v>24</v>
      </c>
      <c r="Y208" s="4">
        <v>6</v>
      </c>
      <c r="Z208" s="4">
        <v>6</v>
      </c>
      <c r="AA208" s="4">
        <v>3</v>
      </c>
      <c r="AB208" s="4">
        <v>22</v>
      </c>
      <c r="AC208" s="2" t="s">
        <v>1927</v>
      </c>
      <c r="AD208" s="2" t="s">
        <v>1928</v>
      </c>
      <c r="AE208" s="2" t="s">
        <v>1929</v>
      </c>
      <c r="AF208" s="2" t="s">
        <v>1930</v>
      </c>
      <c r="AG208" s="2" t="s">
        <v>1931</v>
      </c>
      <c r="AH208" s="2" t="s">
        <v>86</v>
      </c>
      <c r="AI208" s="2" t="s">
        <v>1932</v>
      </c>
      <c r="AJ208" s="2" t="s">
        <v>1933</v>
      </c>
      <c r="AK208" s="2" t="s">
        <v>86</v>
      </c>
      <c r="AL208" s="4">
        <v>2017</v>
      </c>
      <c r="AM208" s="4">
        <v>26</v>
      </c>
      <c r="AN208" s="4">
        <v>6</v>
      </c>
      <c r="AO208" s="2" t="s">
        <v>86</v>
      </c>
      <c r="AP208" s="2" t="s">
        <v>86</v>
      </c>
      <c r="AQ208" s="2" t="s">
        <v>86</v>
      </c>
      <c r="AR208" s="2" t="s">
        <v>86</v>
      </c>
      <c r="AS208" s="4">
        <v>3839</v>
      </c>
      <c r="AT208" s="4">
        <v>3844</v>
      </c>
      <c r="AU208" s="2" t="s">
        <v>86</v>
      </c>
      <c r="AV208" s="2" t="s">
        <v>86</v>
      </c>
      <c r="AW208" s="2" t="s">
        <v>86</v>
      </c>
      <c r="AX208" s="4">
        <v>6</v>
      </c>
      <c r="AY208" s="2" t="s">
        <v>91</v>
      </c>
      <c r="AZ208" s="2" t="s">
        <v>92</v>
      </c>
      <c r="BA208" s="2" t="s">
        <v>93</v>
      </c>
      <c r="BB208" s="2" t="s">
        <v>3688</v>
      </c>
      <c r="BC208" s="2" t="s">
        <v>86</v>
      </c>
      <c r="BD208" s="2" t="s">
        <v>86</v>
      </c>
      <c r="BE208" s="2" t="s">
        <v>86</v>
      </c>
      <c r="BF208" s="2" t="s">
        <v>86</v>
      </c>
      <c r="BG208" s="2" t="s">
        <v>95</v>
      </c>
      <c r="BH208" s="2" t="s">
        <v>3689</v>
      </c>
      <c r="BI208" s="2" t="str">
        <f>HYPERLINK("https%3A%2F%2Fwww.webofscience.com%2Fwos%2Fwoscc%2Ffull-record%2FWOS:000405360700016","View Full Record in Web of Science")</f>
        <v>View Full Record in Web of Science</v>
      </c>
    </row>
    <row r="209" spans="1:61" customFormat="1" ht="12.75" x14ac:dyDescent="0.2">
      <c r="A209" s="1">
        <v>205</v>
      </c>
      <c r="B209" s="1" t="s">
        <v>1068</v>
      </c>
      <c r="C209" s="1" t="s">
        <v>3690</v>
      </c>
      <c r="D209" s="2" t="s">
        <v>3691</v>
      </c>
      <c r="E209" s="2" t="s">
        <v>3692</v>
      </c>
      <c r="F209" s="3" t="str">
        <f>HYPERLINK("http://dx.doi.org/10.1016/j.jenvman.2019.05.065","http://dx.doi.org/10.1016/j.jenvman.2019.05.065")</f>
        <v>http://dx.doi.org/10.1016/j.jenvman.2019.05.065</v>
      </c>
      <c r="G209" s="2" t="s">
        <v>200</v>
      </c>
      <c r="H209" s="2" t="s">
        <v>3693</v>
      </c>
      <c r="I209" s="2" t="s">
        <v>3694</v>
      </c>
      <c r="J209" s="2" t="s">
        <v>835</v>
      </c>
      <c r="K209" s="2" t="s">
        <v>68</v>
      </c>
      <c r="L209" s="2" t="s">
        <v>3695</v>
      </c>
      <c r="M209" s="2" t="s">
        <v>3696</v>
      </c>
      <c r="N209" s="2" t="s">
        <v>3697</v>
      </c>
      <c r="O209" s="2" t="s">
        <v>3698</v>
      </c>
      <c r="P209" s="2" t="s">
        <v>3699</v>
      </c>
      <c r="Q209" s="2" t="s">
        <v>3700</v>
      </c>
      <c r="R209" s="2" t="s">
        <v>3701</v>
      </c>
      <c r="S209" s="2" t="s">
        <v>3702</v>
      </c>
      <c r="T209" s="2" t="s">
        <v>86</v>
      </c>
      <c r="U209" s="2" t="s">
        <v>86</v>
      </c>
      <c r="V209" s="2" t="s">
        <v>86</v>
      </c>
      <c r="W209" s="2" t="s">
        <v>80</v>
      </c>
      <c r="X209" s="4">
        <v>31</v>
      </c>
      <c r="Y209" s="4">
        <v>28</v>
      </c>
      <c r="Z209" s="4">
        <v>29</v>
      </c>
      <c r="AA209" s="4">
        <v>2</v>
      </c>
      <c r="AB209" s="4">
        <v>68</v>
      </c>
      <c r="AC209" s="2" t="s">
        <v>843</v>
      </c>
      <c r="AD209" s="2" t="s">
        <v>605</v>
      </c>
      <c r="AE209" s="2" t="s">
        <v>844</v>
      </c>
      <c r="AF209" s="2" t="s">
        <v>845</v>
      </c>
      <c r="AG209" s="2" t="s">
        <v>846</v>
      </c>
      <c r="AH209" s="2" t="s">
        <v>86</v>
      </c>
      <c r="AI209" s="2" t="s">
        <v>847</v>
      </c>
      <c r="AJ209" s="2" t="s">
        <v>848</v>
      </c>
      <c r="AK209" s="2" t="s">
        <v>2684</v>
      </c>
      <c r="AL209" s="4">
        <v>2019</v>
      </c>
      <c r="AM209" s="4">
        <v>244</v>
      </c>
      <c r="AN209" s="2" t="s">
        <v>86</v>
      </c>
      <c r="AO209" s="2" t="s">
        <v>86</v>
      </c>
      <c r="AP209" s="2" t="s">
        <v>86</v>
      </c>
      <c r="AQ209" s="2" t="s">
        <v>86</v>
      </c>
      <c r="AR209" s="2" t="s">
        <v>86</v>
      </c>
      <c r="AS209" s="4">
        <v>362</v>
      </c>
      <c r="AT209" s="4">
        <v>369</v>
      </c>
      <c r="AU209" s="2" t="s">
        <v>86</v>
      </c>
      <c r="AV209" s="2" t="s">
        <v>86</v>
      </c>
      <c r="AW209" s="2" t="s">
        <v>86</v>
      </c>
      <c r="AX209" s="4">
        <v>8</v>
      </c>
      <c r="AY209" s="2" t="s">
        <v>91</v>
      </c>
      <c r="AZ209" s="2" t="s">
        <v>92</v>
      </c>
      <c r="BA209" s="2" t="s">
        <v>93</v>
      </c>
      <c r="BB209" s="2" t="s">
        <v>3703</v>
      </c>
      <c r="BC209" s="4">
        <v>31129467</v>
      </c>
      <c r="BD209" s="2" t="s">
        <v>86</v>
      </c>
      <c r="BE209" s="2" t="s">
        <v>86</v>
      </c>
      <c r="BF209" s="2" t="s">
        <v>86</v>
      </c>
      <c r="BG209" s="2" t="s">
        <v>95</v>
      </c>
      <c r="BH209" s="2" t="s">
        <v>3704</v>
      </c>
      <c r="BI209" s="2" t="str">
        <f>HYPERLINK("https%3A%2F%2Fwww.webofscience.com%2Fwos%2Fwoscc%2Ffull-record%2FWOS:000472812000038","View Full Record in Web of Science")</f>
        <v>View Full Record in Web of Science</v>
      </c>
    </row>
    <row r="210" spans="1:61" ht="12.75" x14ac:dyDescent="0.2">
      <c r="A210" s="8">
        <v>206</v>
      </c>
      <c r="B210" s="8" t="s">
        <v>1049</v>
      </c>
      <c r="C210" s="8" t="s">
        <v>3705</v>
      </c>
      <c r="D210" s="9" t="s">
        <v>3706</v>
      </c>
      <c r="E210" s="9" t="s">
        <v>3707</v>
      </c>
      <c r="F210" s="11" t="str">
        <f>HYPERLINK("http://dx.doi.org/10.1016/j.marpolbul.2021.112993","http://dx.doi.org/10.1016/j.marpolbul.2021.112993")</f>
        <v>http://dx.doi.org/10.1016/j.marpolbul.2021.112993</v>
      </c>
      <c r="G210" s="9" t="s">
        <v>200</v>
      </c>
      <c r="H210" s="9" t="s">
        <v>3708</v>
      </c>
      <c r="I210" s="9" t="s">
        <v>3709</v>
      </c>
      <c r="J210" s="9" t="s">
        <v>424</v>
      </c>
      <c r="K210" s="9" t="s">
        <v>68</v>
      </c>
      <c r="L210" s="9" t="s">
        <v>3710</v>
      </c>
      <c r="M210" s="9" t="s">
        <v>3711</v>
      </c>
      <c r="N210" s="9" t="s">
        <v>3712</v>
      </c>
      <c r="O210" s="9" t="s">
        <v>2103</v>
      </c>
      <c r="P210" s="9" t="s">
        <v>2104</v>
      </c>
      <c r="Q210" s="9" t="s">
        <v>1634</v>
      </c>
      <c r="R210" s="9" t="s">
        <v>3713</v>
      </c>
      <c r="S210" s="9" t="s">
        <v>3714</v>
      </c>
      <c r="T210" s="9" t="s">
        <v>86</v>
      </c>
      <c r="U210" s="9" t="s">
        <v>86</v>
      </c>
      <c r="V210" s="9" t="s">
        <v>86</v>
      </c>
      <c r="W210" s="9" t="s">
        <v>80</v>
      </c>
      <c r="X210" s="12">
        <v>46</v>
      </c>
      <c r="Y210" s="12">
        <v>17</v>
      </c>
      <c r="Z210" s="12">
        <v>18</v>
      </c>
      <c r="AA210" s="12">
        <v>1</v>
      </c>
      <c r="AB210" s="12">
        <v>31</v>
      </c>
      <c r="AC210" s="9" t="s">
        <v>237</v>
      </c>
      <c r="AD210" s="9" t="s">
        <v>115</v>
      </c>
      <c r="AE210" s="9" t="s">
        <v>238</v>
      </c>
      <c r="AF210" s="9" t="s">
        <v>436</v>
      </c>
      <c r="AG210" s="9" t="s">
        <v>437</v>
      </c>
      <c r="AH210" s="9" t="s">
        <v>86</v>
      </c>
      <c r="AI210" s="9" t="s">
        <v>438</v>
      </c>
      <c r="AJ210" s="9" t="s">
        <v>439</v>
      </c>
      <c r="AK210" s="9" t="s">
        <v>217</v>
      </c>
      <c r="AL210" s="12">
        <v>2021</v>
      </c>
      <c r="AM210" s="12">
        <v>173</v>
      </c>
      <c r="AN210" s="9" t="s">
        <v>86</v>
      </c>
      <c r="AO210" s="9" t="s">
        <v>122</v>
      </c>
      <c r="AP210" s="9" t="s">
        <v>86</v>
      </c>
      <c r="AQ210" s="9" t="s">
        <v>86</v>
      </c>
      <c r="AR210" s="9" t="s">
        <v>86</v>
      </c>
      <c r="AS210" s="9" t="s">
        <v>86</v>
      </c>
      <c r="AT210" s="9" t="s">
        <v>86</v>
      </c>
      <c r="AU210" s="12">
        <v>112993</v>
      </c>
      <c r="AV210" s="9" t="s">
        <v>86</v>
      </c>
      <c r="AW210" s="9" t="s">
        <v>2258</v>
      </c>
      <c r="AX210" s="12">
        <v>8</v>
      </c>
      <c r="AY210" s="9" t="s">
        <v>441</v>
      </c>
      <c r="AZ210" s="9" t="s">
        <v>92</v>
      </c>
      <c r="BA210" s="9" t="s">
        <v>442</v>
      </c>
      <c r="BB210" s="9" t="s">
        <v>3715</v>
      </c>
      <c r="BC210" s="12">
        <v>34598091</v>
      </c>
      <c r="BD210" s="9" t="s">
        <v>86</v>
      </c>
      <c r="BE210" s="9" t="s">
        <v>86</v>
      </c>
      <c r="BF210" s="9" t="s">
        <v>86</v>
      </c>
      <c r="BG210" s="9" t="s">
        <v>95</v>
      </c>
      <c r="BH210" s="9" t="s">
        <v>3716</v>
      </c>
      <c r="BI210" s="9" t="str">
        <f>HYPERLINK("https%3A%2F%2Fwww.webofscience.com%2Fwos%2Fwoscc%2Ffull-record%2FWOS:000710472200005","View Full Record in Web of Science")</f>
        <v>View Full Record in Web of Science</v>
      </c>
    </row>
    <row r="211" spans="1:61" customFormat="1" ht="12.75" x14ac:dyDescent="0.2">
      <c r="A211" s="1">
        <v>207</v>
      </c>
      <c r="B211" s="1" t="s">
        <v>1068</v>
      </c>
      <c r="C211" s="1" t="s">
        <v>3717</v>
      </c>
      <c r="D211" s="2" t="s">
        <v>3718</v>
      </c>
      <c r="E211" s="2" t="s">
        <v>3719</v>
      </c>
      <c r="F211" s="3" t="str">
        <f>HYPERLINK("http://dx.doi.org/10.1016/j.jhazmat.2022.129692","http://dx.doi.org/10.1016/j.jhazmat.2022.129692")</f>
        <v>http://dx.doi.org/10.1016/j.jhazmat.2022.129692</v>
      </c>
      <c r="G211" s="2" t="s">
        <v>200</v>
      </c>
      <c r="H211" s="2" t="s">
        <v>3720</v>
      </c>
      <c r="I211" s="2" t="s">
        <v>3721</v>
      </c>
      <c r="J211" s="2" t="s">
        <v>2836</v>
      </c>
      <c r="K211" s="2" t="s">
        <v>68</v>
      </c>
      <c r="L211" s="2" t="s">
        <v>3722</v>
      </c>
      <c r="M211" s="2" t="s">
        <v>3723</v>
      </c>
      <c r="N211" s="2" t="s">
        <v>3724</v>
      </c>
      <c r="O211" s="2" t="s">
        <v>3725</v>
      </c>
      <c r="P211" s="2" t="s">
        <v>3726</v>
      </c>
      <c r="Q211" s="2" t="s">
        <v>3727</v>
      </c>
      <c r="R211" s="2" t="s">
        <v>3728</v>
      </c>
      <c r="S211" s="2" t="s">
        <v>3729</v>
      </c>
      <c r="T211" s="2" t="s">
        <v>86</v>
      </c>
      <c r="U211" s="2" t="s">
        <v>86</v>
      </c>
      <c r="V211" s="2" t="s">
        <v>86</v>
      </c>
      <c r="W211" s="2" t="s">
        <v>80</v>
      </c>
      <c r="X211" s="4">
        <v>78</v>
      </c>
      <c r="Y211" s="4">
        <v>1</v>
      </c>
      <c r="Z211" s="4">
        <v>1</v>
      </c>
      <c r="AA211" s="4">
        <v>31</v>
      </c>
      <c r="AB211" s="4">
        <v>44</v>
      </c>
      <c r="AC211" s="2" t="s">
        <v>585</v>
      </c>
      <c r="AD211" s="2" t="s">
        <v>586</v>
      </c>
      <c r="AE211" s="2" t="s">
        <v>587</v>
      </c>
      <c r="AF211" s="2" t="s">
        <v>2841</v>
      </c>
      <c r="AG211" s="2" t="s">
        <v>2842</v>
      </c>
      <c r="AH211" s="2" t="s">
        <v>86</v>
      </c>
      <c r="AI211" s="2" t="s">
        <v>2843</v>
      </c>
      <c r="AJ211" s="2" t="s">
        <v>2844</v>
      </c>
      <c r="AK211" s="2" t="s">
        <v>493</v>
      </c>
      <c r="AL211" s="4">
        <v>2022</v>
      </c>
      <c r="AM211" s="4">
        <v>440</v>
      </c>
      <c r="AN211" s="2" t="s">
        <v>86</v>
      </c>
      <c r="AO211" s="2" t="s">
        <v>86</v>
      </c>
      <c r="AP211" s="2" t="s">
        <v>86</v>
      </c>
      <c r="AQ211" s="2" t="s">
        <v>86</v>
      </c>
      <c r="AR211" s="2" t="s">
        <v>86</v>
      </c>
      <c r="AS211" s="2" t="s">
        <v>86</v>
      </c>
      <c r="AT211" s="2" t="s">
        <v>86</v>
      </c>
      <c r="AU211" s="4">
        <v>129692</v>
      </c>
      <c r="AV211" s="2" t="s">
        <v>86</v>
      </c>
      <c r="AW211" s="2" t="s">
        <v>86</v>
      </c>
      <c r="AX211" s="4">
        <v>13</v>
      </c>
      <c r="AY211" s="2" t="s">
        <v>567</v>
      </c>
      <c r="AZ211" s="2" t="s">
        <v>92</v>
      </c>
      <c r="BA211" s="2" t="s">
        <v>568</v>
      </c>
      <c r="BB211" s="2" t="s">
        <v>3730</v>
      </c>
      <c r="BC211" s="4">
        <v>35963084</v>
      </c>
      <c r="BD211" s="2" t="s">
        <v>86</v>
      </c>
      <c r="BE211" s="2" t="s">
        <v>86</v>
      </c>
      <c r="BF211" s="2" t="s">
        <v>86</v>
      </c>
      <c r="BG211" s="2" t="s">
        <v>95</v>
      </c>
      <c r="BH211" s="2" t="s">
        <v>3731</v>
      </c>
      <c r="BI211" s="2" t="str">
        <f>HYPERLINK("https%3A%2F%2Fwww.webofscience.com%2Fwos%2Fwoscc%2Ffull-record%2FWOS:000931930500002","View Full Record in Web of Science")</f>
        <v>View Full Record in Web of Science</v>
      </c>
    </row>
    <row r="212" spans="1:61" customFormat="1" ht="12.75" x14ac:dyDescent="0.2">
      <c r="A212" s="1">
        <v>208</v>
      </c>
      <c r="B212" s="1" t="s">
        <v>1068</v>
      </c>
      <c r="C212" s="1" t="s">
        <v>3732</v>
      </c>
      <c r="D212" s="2" t="s">
        <v>3733</v>
      </c>
      <c r="E212" s="2" t="s">
        <v>3734</v>
      </c>
      <c r="F212" s="3" t="str">
        <f>HYPERLINK("http://dx.doi.org/10.1016/S0025-326X(01)00133-3","http://dx.doi.org/10.1016/S0025-326X(01)00133-3")</f>
        <v>http://dx.doi.org/10.1016/S0025-326X(01)00133-3</v>
      </c>
      <c r="G212" s="2" t="s">
        <v>200</v>
      </c>
      <c r="H212" s="2" t="s">
        <v>3735</v>
      </c>
      <c r="I212" s="2" t="s">
        <v>3735</v>
      </c>
      <c r="J212" s="2" t="s">
        <v>424</v>
      </c>
      <c r="K212" s="2" t="s">
        <v>68</v>
      </c>
      <c r="L212" s="2" t="s">
        <v>3736</v>
      </c>
      <c r="M212" s="2" t="s">
        <v>3737</v>
      </c>
      <c r="N212" s="2" t="s">
        <v>3738</v>
      </c>
      <c r="O212" s="2" t="s">
        <v>3739</v>
      </c>
      <c r="P212" s="2" t="s">
        <v>3740</v>
      </c>
      <c r="Q212" s="2" t="s">
        <v>3741</v>
      </c>
      <c r="R212" s="2" t="s">
        <v>3742</v>
      </c>
      <c r="S212" s="2" t="s">
        <v>3743</v>
      </c>
      <c r="T212" s="2" t="s">
        <v>86</v>
      </c>
      <c r="U212" s="2" t="s">
        <v>86</v>
      </c>
      <c r="V212" s="2" t="s">
        <v>86</v>
      </c>
      <c r="W212" s="2" t="s">
        <v>80</v>
      </c>
      <c r="X212" s="4">
        <v>17</v>
      </c>
      <c r="Y212" s="4">
        <v>23</v>
      </c>
      <c r="Z212" s="4">
        <v>24</v>
      </c>
      <c r="AA212" s="4">
        <v>0</v>
      </c>
      <c r="AB212" s="4">
        <v>11</v>
      </c>
      <c r="AC212" s="2" t="s">
        <v>237</v>
      </c>
      <c r="AD212" s="2" t="s">
        <v>115</v>
      </c>
      <c r="AE212" s="2" t="s">
        <v>238</v>
      </c>
      <c r="AF212" s="2" t="s">
        <v>436</v>
      </c>
      <c r="AG212" s="2" t="s">
        <v>437</v>
      </c>
      <c r="AH212" s="2" t="s">
        <v>86</v>
      </c>
      <c r="AI212" s="2" t="s">
        <v>438</v>
      </c>
      <c r="AJ212" s="2" t="s">
        <v>439</v>
      </c>
      <c r="AK212" s="2" t="s">
        <v>121</v>
      </c>
      <c r="AL212" s="4">
        <v>2001</v>
      </c>
      <c r="AM212" s="4">
        <v>42</v>
      </c>
      <c r="AN212" s="4">
        <v>11</v>
      </c>
      <c r="AO212" s="2" t="s">
        <v>86</v>
      </c>
      <c r="AP212" s="2" t="s">
        <v>86</v>
      </c>
      <c r="AQ212" s="2" t="s">
        <v>86</v>
      </c>
      <c r="AR212" s="2" t="s">
        <v>86</v>
      </c>
      <c r="AS212" s="4">
        <v>1169</v>
      </c>
      <c r="AT212" s="4">
        <v>1176</v>
      </c>
      <c r="AU212" s="2" t="s">
        <v>86</v>
      </c>
      <c r="AV212" s="2" t="s">
        <v>86</v>
      </c>
      <c r="AW212" s="2" t="s">
        <v>86</v>
      </c>
      <c r="AX212" s="4">
        <v>8</v>
      </c>
      <c r="AY212" s="2" t="s">
        <v>441</v>
      </c>
      <c r="AZ212" s="2" t="s">
        <v>92</v>
      </c>
      <c r="BA212" s="2" t="s">
        <v>442</v>
      </c>
      <c r="BB212" s="2" t="s">
        <v>3744</v>
      </c>
      <c r="BC212" s="4">
        <v>11763231</v>
      </c>
      <c r="BD212" s="2" t="s">
        <v>86</v>
      </c>
      <c r="BE212" s="2" t="s">
        <v>86</v>
      </c>
      <c r="BF212" s="2" t="s">
        <v>86</v>
      </c>
      <c r="BG212" s="2" t="s">
        <v>95</v>
      </c>
      <c r="BH212" s="2" t="s">
        <v>3745</v>
      </c>
      <c r="BI212" s="2" t="str">
        <f>HYPERLINK("https%3A%2F%2Fwww.webofscience.com%2Fwos%2Fwoscc%2Ffull-record%2FWOS:000172356900031","View Full Record in Web of Science")</f>
        <v>View Full Record in Web of Science</v>
      </c>
    </row>
    <row r="213" spans="1:61" customFormat="1" ht="12.75" x14ac:dyDescent="0.2">
      <c r="A213" s="1">
        <v>209</v>
      </c>
      <c r="B213" s="1" t="s">
        <v>1068</v>
      </c>
      <c r="C213" s="1" t="s">
        <v>3746</v>
      </c>
      <c r="D213" s="2" t="s">
        <v>3747</v>
      </c>
      <c r="E213" s="2" t="s">
        <v>86</v>
      </c>
      <c r="F213" s="2" t="s">
        <v>86</v>
      </c>
      <c r="G213" s="2" t="s">
        <v>176</v>
      </c>
      <c r="H213" s="2" t="s">
        <v>3748</v>
      </c>
      <c r="I213" s="2" t="s">
        <v>3749</v>
      </c>
      <c r="J213" s="2" t="s">
        <v>179</v>
      </c>
      <c r="K213" s="2" t="s">
        <v>68</v>
      </c>
      <c r="L213" s="2" t="s">
        <v>3750</v>
      </c>
      <c r="M213" s="2" t="s">
        <v>3751</v>
      </c>
      <c r="N213" s="2" t="s">
        <v>3752</v>
      </c>
      <c r="O213" s="2" t="s">
        <v>2401</v>
      </c>
      <c r="P213" s="2" t="s">
        <v>3753</v>
      </c>
      <c r="Q213" s="2" t="s">
        <v>3754</v>
      </c>
      <c r="R213" s="2" t="s">
        <v>86</v>
      </c>
      <c r="S213" s="2" t="s">
        <v>86</v>
      </c>
      <c r="T213" s="2" t="s">
        <v>3755</v>
      </c>
      <c r="U213" s="2" t="s">
        <v>3755</v>
      </c>
      <c r="V213" s="2" t="s">
        <v>3756</v>
      </c>
      <c r="W213" s="2" t="s">
        <v>188</v>
      </c>
      <c r="X213" s="4">
        <v>90</v>
      </c>
      <c r="Y213" s="4">
        <v>1</v>
      </c>
      <c r="Z213" s="4">
        <v>1</v>
      </c>
      <c r="AA213" s="4">
        <v>0</v>
      </c>
      <c r="AB213" s="4">
        <v>0</v>
      </c>
      <c r="AC213" s="2" t="s">
        <v>189</v>
      </c>
      <c r="AD213" s="2" t="s">
        <v>165</v>
      </c>
      <c r="AE213" s="2" t="s">
        <v>190</v>
      </c>
      <c r="AF213" s="2" t="s">
        <v>86</v>
      </c>
      <c r="AG213" s="2" t="s">
        <v>86</v>
      </c>
      <c r="AH213" s="2" t="s">
        <v>191</v>
      </c>
      <c r="AI213" s="2" t="s">
        <v>192</v>
      </c>
      <c r="AJ213" s="2" t="s">
        <v>86</v>
      </c>
      <c r="AK213" s="2" t="s">
        <v>86</v>
      </c>
      <c r="AL213" s="4">
        <v>2020</v>
      </c>
      <c r="AM213" s="4">
        <v>56</v>
      </c>
      <c r="AN213" s="2" t="s">
        <v>86</v>
      </c>
      <c r="AO213" s="2" t="s">
        <v>86</v>
      </c>
      <c r="AP213" s="2" t="s">
        <v>86</v>
      </c>
      <c r="AQ213" s="2" t="s">
        <v>86</v>
      </c>
      <c r="AR213" s="2" t="s">
        <v>86</v>
      </c>
      <c r="AS213" s="4">
        <v>111</v>
      </c>
      <c r="AT213" s="4">
        <v>135</v>
      </c>
      <c r="AU213" s="2" t="s">
        <v>86</v>
      </c>
      <c r="AV213" s="2" t="s">
        <v>86</v>
      </c>
      <c r="AW213" s="2" t="s">
        <v>86</v>
      </c>
      <c r="AX213" s="4">
        <v>25</v>
      </c>
      <c r="AY213" s="2" t="s">
        <v>193</v>
      </c>
      <c r="AZ213" s="2" t="s">
        <v>194</v>
      </c>
      <c r="BA213" s="2" t="s">
        <v>93</v>
      </c>
      <c r="BB213" s="2" t="s">
        <v>195</v>
      </c>
      <c r="BC213" s="2" t="s">
        <v>86</v>
      </c>
      <c r="BD213" s="2" t="s">
        <v>86</v>
      </c>
      <c r="BE213" s="2" t="s">
        <v>86</v>
      </c>
      <c r="BF213" s="2" t="s">
        <v>86</v>
      </c>
      <c r="BG213" s="2" t="s">
        <v>95</v>
      </c>
      <c r="BH213" s="2" t="s">
        <v>3757</v>
      </c>
      <c r="BI213" s="2" t="str">
        <f>HYPERLINK("https%3A%2F%2Fwww.webofscience.com%2Fwos%2Fwoscc%2Ffull-record%2FWOS:000637180200012","View Full Record in Web of Science")</f>
        <v>View Full Record in Web of Science</v>
      </c>
    </row>
    <row r="214" spans="1:61" customFormat="1" ht="12.75" x14ac:dyDescent="0.2">
      <c r="A214" s="1">
        <v>210</v>
      </c>
      <c r="B214" s="1" t="s">
        <v>1068</v>
      </c>
      <c r="C214" s="1" t="s">
        <v>3758</v>
      </c>
      <c r="D214" s="2" t="s">
        <v>3759</v>
      </c>
      <c r="E214" s="2" t="s">
        <v>86</v>
      </c>
      <c r="F214" s="2" t="s">
        <v>86</v>
      </c>
      <c r="G214" s="2" t="s">
        <v>200</v>
      </c>
      <c r="H214" s="2" t="s">
        <v>3760</v>
      </c>
      <c r="I214" s="2" t="s">
        <v>3761</v>
      </c>
      <c r="J214" s="2" t="s">
        <v>3762</v>
      </c>
      <c r="K214" s="2" t="s">
        <v>68</v>
      </c>
      <c r="L214" s="2" t="s">
        <v>3763</v>
      </c>
      <c r="M214" s="2" t="s">
        <v>3764</v>
      </c>
      <c r="N214" s="2" t="s">
        <v>3765</v>
      </c>
      <c r="O214" s="2" t="s">
        <v>624</v>
      </c>
      <c r="P214" s="2" t="s">
        <v>3766</v>
      </c>
      <c r="Q214" s="2" t="s">
        <v>3767</v>
      </c>
      <c r="R214" s="2" t="s">
        <v>3768</v>
      </c>
      <c r="S214" s="2" t="s">
        <v>86</v>
      </c>
      <c r="T214" s="2" t="s">
        <v>3769</v>
      </c>
      <c r="U214" s="2" t="s">
        <v>3769</v>
      </c>
      <c r="V214" s="2" t="s">
        <v>3770</v>
      </c>
      <c r="W214" s="2" t="s">
        <v>80</v>
      </c>
      <c r="X214" s="4">
        <v>18</v>
      </c>
      <c r="Y214" s="4">
        <v>11</v>
      </c>
      <c r="Z214" s="4">
        <v>11</v>
      </c>
      <c r="AA214" s="4">
        <v>1</v>
      </c>
      <c r="AB214" s="4">
        <v>25</v>
      </c>
      <c r="AC214" s="2" t="s">
        <v>3771</v>
      </c>
      <c r="AD214" s="2" t="s">
        <v>3772</v>
      </c>
      <c r="AE214" s="2" t="s">
        <v>3773</v>
      </c>
      <c r="AF214" s="2" t="s">
        <v>3774</v>
      </c>
      <c r="AG214" s="2" t="s">
        <v>86</v>
      </c>
      <c r="AH214" s="2" t="s">
        <v>86</v>
      </c>
      <c r="AI214" s="2" t="s">
        <v>3775</v>
      </c>
      <c r="AJ214" s="2" t="s">
        <v>3776</v>
      </c>
      <c r="AK214" s="2" t="s">
        <v>3777</v>
      </c>
      <c r="AL214" s="4">
        <v>2010</v>
      </c>
      <c r="AM214" s="4">
        <v>5</v>
      </c>
      <c r="AN214" s="4">
        <v>3</v>
      </c>
      <c r="AO214" s="2" t="s">
        <v>86</v>
      </c>
      <c r="AP214" s="2" t="s">
        <v>86</v>
      </c>
      <c r="AQ214" s="2" t="s">
        <v>86</v>
      </c>
      <c r="AR214" s="2" t="s">
        <v>86</v>
      </c>
      <c r="AS214" s="4">
        <v>296</v>
      </c>
      <c r="AT214" s="4">
        <v>303</v>
      </c>
      <c r="AU214" s="2" t="s">
        <v>86</v>
      </c>
      <c r="AV214" s="2" t="s">
        <v>86</v>
      </c>
      <c r="AW214" s="2" t="s">
        <v>86</v>
      </c>
      <c r="AX214" s="4">
        <v>8</v>
      </c>
      <c r="AY214" s="2" t="s">
        <v>3080</v>
      </c>
      <c r="AZ214" s="2" t="s">
        <v>92</v>
      </c>
      <c r="BA214" s="2" t="s">
        <v>3081</v>
      </c>
      <c r="BB214" s="2" t="s">
        <v>3778</v>
      </c>
      <c r="BC214" s="2" t="s">
        <v>86</v>
      </c>
      <c r="BD214" s="2" t="s">
        <v>86</v>
      </c>
      <c r="BE214" s="2" t="s">
        <v>86</v>
      </c>
      <c r="BF214" s="2" t="s">
        <v>86</v>
      </c>
      <c r="BG214" s="2" t="s">
        <v>95</v>
      </c>
      <c r="BH214" s="2" t="s">
        <v>3779</v>
      </c>
      <c r="BI214" s="2" t="str">
        <f>HYPERLINK("https%3A%2F%2Fwww.webofscience.com%2Fwos%2Fwoscc%2Ffull-record%2FWOS:000275269500005","View Full Record in Web of Science")</f>
        <v>View Full Record in Web of Science</v>
      </c>
    </row>
    <row r="215" spans="1:61" customFormat="1" ht="12.75" x14ac:dyDescent="0.2">
      <c r="A215" s="1">
        <v>211</v>
      </c>
      <c r="B215" s="1" t="s">
        <v>1068</v>
      </c>
      <c r="C215" s="1" t="s">
        <v>3780</v>
      </c>
      <c r="D215" s="2" t="s">
        <v>3781</v>
      </c>
      <c r="E215" s="2" t="s">
        <v>86</v>
      </c>
      <c r="F215" s="2" t="s">
        <v>86</v>
      </c>
      <c r="G215" s="2" t="s">
        <v>200</v>
      </c>
      <c r="H215" s="2" t="s">
        <v>3782</v>
      </c>
      <c r="I215" s="2" t="s">
        <v>3782</v>
      </c>
      <c r="J215" s="2" t="s">
        <v>1918</v>
      </c>
      <c r="K215" s="2" t="s">
        <v>68</v>
      </c>
      <c r="L215" s="2" t="s">
        <v>3783</v>
      </c>
      <c r="M215" s="2" t="s">
        <v>3784</v>
      </c>
      <c r="N215" s="2" t="s">
        <v>3785</v>
      </c>
      <c r="O215" s="2" t="s">
        <v>3786</v>
      </c>
      <c r="P215" s="2" t="s">
        <v>3787</v>
      </c>
      <c r="Q215" s="2" t="s">
        <v>3788</v>
      </c>
      <c r="R215" s="2" t="s">
        <v>3789</v>
      </c>
      <c r="S215" s="2" t="s">
        <v>3790</v>
      </c>
      <c r="T215" s="2" t="s">
        <v>86</v>
      </c>
      <c r="U215" s="2" t="s">
        <v>86</v>
      </c>
      <c r="V215" s="2" t="s">
        <v>86</v>
      </c>
      <c r="W215" s="2" t="s">
        <v>80</v>
      </c>
      <c r="X215" s="4">
        <v>35</v>
      </c>
      <c r="Y215" s="4">
        <v>24</v>
      </c>
      <c r="Z215" s="4">
        <v>25</v>
      </c>
      <c r="AA215" s="4">
        <v>1</v>
      </c>
      <c r="AB215" s="4">
        <v>48</v>
      </c>
      <c r="AC215" s="2" t="s">
        <v>1927</v>
      </c>
      <c r="AD215" s="2" t="s">
        <v>1928</v>
      </c>
      <c r="AE215" s="2" t="s">
        <v>1929</v>
      </c>
      <c r="AF215" s="2" t="s">
        <v>1930</v>
      </c>
      <c r="AG215" s="2" t="s">
        <v>1931</v>
      </c>
      <c r="AH215" s="2" t="s">
        <v>86</v>
      </c>
      <c r="AI215" s="2" t="s">
        <v>1932</v>
      </c>
      <c r="AJ215" s="2" t="s">
        <v>1933</v>
      </c>
      <c r="AK215" s="2" t="s">
        <v>86</v>
      </c>
      <c r="AL215" s="4">
        <v>2006</v>
      </c>
      <c r="AM215" s="4">
        <v>15</v>
      </c>
      <c r="AN215" s="4">
        <v>2</v>
      </c>
      <c r="AO215" s="2" t="s">
        <v>86</v>
      </c>
      <c r="AP215" s="2" t="s">
        <v>86</v>
      </c>
      <c r="AQ215" s="2" t="s">
        <v>86</v>
      </c>
      <c r="AR215" s="2" t="s">
        <v>86</v>
      </c>
      <c r="AS215" s="4">
        <v>95</v>
      </c>
      <c r="AT215" s="4">
        <v>103</v>
      </c>
      <c r="AU215" s="2" t="s">
        <v>86</v>
      </c>
      <c r="AV215" s="2" t="s">
        <v>86</v>
      </c>
      <c r="AW215" s="2" t="s">
        <v>86</v>
      </c>
      <c r="AX215" s="4">
        <v>9</v>
      </c>
      <c r="AY215" s="2" t="s">
        <v>91</v>
      </c>
      <c r="AZ215" s="2" t="s">
        <v>92</v>
      </c>
      <c r="BA215" s="2" t="s">
        <v>93</v>
      </c>
      <c r="BB215" s="2" t="s">
        <v>3791</v>
      </c>
      <c r="BC215" s="2" t="s">
        <v>86</v>
      </c>
      <c r="BD215" s="2" t="s">
        <v>86</v>
      </c>
      <c r="BE215" s="2" t="s">
        <v>86</v>
      </c>
      <c r="BF215" s="2" t="s">
        <v>86</v>
      </c>
      <c r="BG215" s="2" t="s">
        <v>95</v>
      </c>
      <c r="BH215" s="2" t="s">
        <v>3792</v>
      </c>
      <c r="BI215" s="2" t="str">
        <f>HYPERLINK("https%3A%2F%2Fwww.webofscience.com%2Fwos%2Fwoscc%2Ffull-record%2FWOS:000235286200002","View Full Record in Web of Science")</f>
        <v>View Full Record in Web of Science</v>
      </c>
    </row>
    <row r="216" spans="1:61" customFormat="1" ht="12.75" x14ac:dyDescent="0.2">
      <c r="A216" s="1">
        <v>212</v>
      </c>
      <c r="B216" s="1" t="s">
        <v>1068</v>
      </c>
      <c r="C216" s="1" t="s">
        <v>3793</v>
      </c>
      <c r="D216" s="2" t="s">
        <v>3794</v>
      </c>
      <c r="E216" s="2" t="s">
        <v>3795</v>
      </c>
      <c r="F216" s="3" t="str">
        <f>HYPERLINK("http://dx.doi.org/10.1007/s11852-022-00856-5","http://dx.doi.org/10.1007/s11852-022-00856-5")</f>
        <v>http://dx.doi.org/10.1007/s11852-022-00856-5</v>
      </c>
      <c r="G216" s="2" t="s">
        <v>200</v>
      </c>
      <c r="H216" s="2" t="s">
        <v>3796</v>
      </c>
      <c r="I216" s="2" t="s">
        <v>3797</v>
      </c>
      <c r="J216" s="2" t="s">
        <v>3798</v>
      </c>
      <c r="K216" s="2" t="s">
        <v>68</v>
      </c>
      <c r="L216" s="2" t="s">
        <v>3799</v>
      </c>
      <c r="M216" s="2" t="s">
        <v>3800</v>
      </c>
      <c r="N216" s="2" t="s">
        <v>3801</v>
      </c>
      <c r="O216" s="2" t="s">
        <v>3802</v>
      </c>
      <c r="P216" s="2" t="s">
        <v>2964</v>
      </c>
      <c r="Q216" s="2" t="s">
        <v>2965</v>
      </c>
      <c r="R216" s="2" t="s">
        <v>3803</v>
      </c>
      <c r="S216" s="2" t="s">
        <v>3804</v>
      </c>
      <c r="T216" s="2" t="s">
        <v>86</v>
      </c>
      <c r="U216" s="2" t="s">
        <v>86</v>
      </c>
      <c r="V216" s="2" t="s">
        <v>86</v>
      </c>
      <c r="W216" s="2" t="s">
        <v>80</v>
      </c>
      <c r="X216" s="4">
        <v>77</v>
      </c>
      <c r="Y216" s="4">
        <v>3</v>
      </c>
      <c r="Z216" s="4">
        <v>4</v>
      </c>
      <c r="AA216" s="4">
        <v>1</v>
      </c>
      <c r="AB216" s="4">
        <v>11</v>
      </c>
      <c r="AC216" s="2" t="s">
        <v>139</v>
      </c>
      <c r="AD216" s="2" t="s">
        <v>1355</v>
      </c>
      <c r="AE216" s="2" t="s">
        <v>1356</v>
      </c>
      <c r="AF216" s="2" t="s">
        <v>3805</v>
      </c>
      <c r="AG216" s="2" t="s">
        <v>3806</v>
      </c>
      <c r="AH216" s="2" t="s">
        <v>86</v>
      </c>
      <c r="AI216" s="2" t="s">
        <v>3807</v>
      </c>
      <c r="AJ216" s="2" t="s">
        <v>3808</v>
      </c>
      <c r="AK216" s="2" t="s">
        <v>89</v>
      </c>
      <c r="AL216" s="4">
        <v>2022</v>
      </c>
      <c r="AM216" s="4">
        <v>26</v>
      </c>
      <c r="AN216" s="4">
        <v>2</v>
      </c>
      <c r="AO216" s="2" t="s">
        <v>86</v>
      </c>
      <c r="AP216" s="2" t="s">
        <v>86</v>
      </c>
      <c r="AQ216" s="2" t="s">
        <v>86</v>
      </c>
      <c r="AR216" s="2" t="s">
        <v>86</v>
      </c>
      <c r="AS216" s="2" t="s">
        <v>86</v>
      </c>
      <c r="AT216" s="2" t="s">
        <v>86</v>
      </c>
      <c r="AU216" s="4">
        <v>8</v>
      </c>
      <c r="AV216" s="2" t="s">
        <v>86</v>
      </c>
      <c r="AW216" s="2" t="s">
        <v>86</v>
      </c>
      <c r="AX216" s="4">
        <v>12</v>
      </c>
      <c r="AY216" s="2" t="s">
        <v>3809</v>
      </c>
      <c r="AZ216" s="2" t="s">
        <v>92</v>
      </c>
      <c r="BA216" s="2" t="s">
        <v>3810</v>
      </c>
      <c r="BB216" s="2" t="s">
        <v>3811</v>
      </c>
      <c r="BC216" s="4">
        <v>35370451</v>
      </c>
      <c r="BD216" s="2" t="s">
        <v>3273</v>
      </c>
      <c r="BE216" s="2" t="s">
        <v>86</v>
      </c>
      <c r="BF216" s="2" t="s">
        <v>86</v>
      </c>
      <c r="BG216" s="2" t="s">
        <v>95</v>
      </c>
      <c r="BH216" s="2" t="s">
        <v>3812</v>
      </c>
      <c r="BI216" s="2" t="str">
        <f>HYPERLINK("https%3A%2F%2Fwww.webofscience.com%2Fwos%2Fwoscc%2Ffull-record%2FWOS:000775099000001","View Full Record in Web of Science")</f>
        <v>View Full Record in Web of Science</v>
      </c>
    </row>
    <row r="217" spans="1:61" customFormat="1" ht="12.75" x14ac:dyDescent="0.2">
      <c r="A217" s="1">
        <v>213</v>
      </c>
      <c r="B217" s="1" t="s">
        <v>1068</v>
      </c>
      <c r="C217" s="1" t="s">
        <v>3813</v>
      </c>
      <c r="D217" s="2" t="s">
        <v>3814</v>
      </c>
      <c r="E217" s="2" t="s">
        <v>3815</v>
      </c>
      <c r="F217" s="3" t="str">
        <f>HYPERLINK("http://dx.doi.org/10.1016/j.chemosphere.2022.133864","http://dx.doi.org/10.1016/j.chemosphere.2022.133864")</f>
        <v>http://dx.doi.org/10.1016/j.chemosphere.2022.133864</v>
      </c>
      <c r="G217" s="2" t="s">
        <v>200</v>
      </c>
      <c r="H217" s="2" t="s">
        <v>3816</v>
      </c>
      <c r="I217" s="2" t="s">
        <v>3817</v>
      </c>
      <c r="J217" s="2" t="s">
        <v>227</v>
      </c>
      <c r="K217" s="2" t="s">
        <v>68</v>
      </c>
      <c r="L217" s="2" t="s">
        <v>3818</v>
      </c>
      <c r="M217" s="2" t="s">
        <v>3819</v>
      </c>
      <c r="N217" s="2" t="s">
        <v>3820</v>
      </c>
      <c r="O217" s="2" t="s">
        <v>3821</v>
      </c>
      <c r="P217" s="2" t="s">
        <v>3822</v>
      </c>
      <c r="Q217" s="2" t="s">
        <v>3823</v>
      </c>
      <c r="R217" s="2" t="s">
        <v>3824</v>
      </c>
      <c r="S217" s="2" t="s">
        <v>3825</v>
      </c>
      <c r="T217" s="2" t="s">
        <v>3826</v>
      </c>
      <c r="U217" s="2" t="s">
        <v>434</v>
      </c>
      <c r="V217" s="2" t="s">
        <v>3827</v>
      </c>
      <c r="W217" s="2" t="s">
        <v>80</v>
      </c>
      <c r="X217" s="4">
        <v>63</v>
      </c>
      <c r="Y217" s="4">
        <v>15</v>
      </c>
      <c r="Z217" s="4">
        <v>15</v>
      </c>
      <c r="AA217" s="4">
        <v>18</v>
      </c>
      <c r="AB217" s="4">
        <v>78</v>
      </c>
      <c r="AC217" s="2" t="s">
        <v>237</v>
      </c>
      <c r="AD217" s="2" t="s">
        <v>115</v>
      </c>
      <c r="AE217" s="2" t="s">
        <v>238</v>
      </c>
      <c r="AF217" s="2" t="s">
        <v>239</v>
      </c>
      <c r="AG217" s="2" t="s">
        <v>240</v>
      </c>
      <c r="AH217" s="2" t="s">
        <v>86</v>
      </c>
      <c r="AI217" s="2" t="s">
        <v>227</v>
      </c>
      <c r="AJ217" s="2" t="s">
        <v>241</v>
      </c>
      <c r="AK217" s="2" t="s">
        <v>1220</v>
      </c>
      <c r="AL217" s="4">
        <v>2022</v>
      </c>
      <c r="AM217" s="4">
        <v>295</v>
      </c>
      <c r="AN217" s="2" t="s">
        <v>86</v>
      </c>
      <c r="AO217" s="2" t="s">
        <v>86</v>
      </c>
      <c r="AP217" s="2" t="s">
        <v>86</v>
      </c>
      <c r="AQ217" s="2" t="s">
        <v>86</v>
      </c>
      <c r="AR217" s="2" t="s">
        <v>86</v>
      </c>
      <c r="AS217" s="2" t="s">
        <v>86</v>
      </c>
      <c r="AT217" s="2" t="s">
        <v>86</v>
      </c>
      <c r="AU217" s="4">
        <v>133864</v>
      </c>
      <c r="AV217" s="2" t="s">
        <v>86</v>
      </c>
      <c r="AW217" s="2" t="s">
        <v>2477</v>
      </c>
      <c r="AX217" s="4">
        <v>12</v>
      </c>
      <c r="AY217" s="2" t="s">
        <v>91</v>
      </c>
      <c r="AZ217" s="2" t="s">
        <v>92</v>
      </c>
      <c r="BA217" s="2" t="s">
        <v>93</v>
      </c>
      <c r="BB217" s="2" t="s">
        <v>3828</v>
      </c>
      <c r="BC217" s="4">
        <v>35150704</v>
      </c>
      <c r="BD217" s="2" t="s">
        <v>86</v>
      </c>
      <c r="BE217" s="2" t="s">
        <v>86</v>
      </c>
      <c r="BF217" s="2" t="s">
        <v>86</v>
      </c>
      <c r="BG217" s="2" t="s">
        <v>95</v>
      </c>
      <c r="BH217" s="2" t="s">
        <v>3829</v>
      </c>
      <c r="BI217" s="2" t="str">
        <f>HYPERLINK("https%3A%2F%2Fwww.webofscience.com%2Fwos%2Fwoscc%2Ffull-record%2FWOS:000758411300002","View Full Record in Web of Science")</f>
        <v>View Full Record in Web of Science</v>
      </c>
    </row>
    <row r="218" spans="1:61" customFormat="1" ht="12.75" x14ac:dyDescent="0.2">
      <c r="A218" s="1">
        <v>215</v>
      </c>
      <c r="B218" s="1" t="s">
        <v>1068</v>
      </c>
      <c r="C218" s="1" t="s">
        <v>3830</v>
      </c>
      <c r="D218" s="2" t="s">
        <v>3831</v>
      </c>
      <c r="E218" s="2" t="s">
        <v>3832</v>
      </c>
      <c r="F218" s="3" t="str">
        <f>HYPERLINK("http://dx.doi.org/10.1080/15287394.2021.1913684","http://dx.doi.org/10.1080/15287394.2021.1913684")</f>
        <v>http://dx.doi.org/10.1080/15287394.2021.1913684</v>
      </c>
      <c r="G218" s="2" t="s">
        <v>200</v>
      </c>
      <c r="H218" s="2" t="s">
        <v>3833</v>
      </c>
      <c r="I218" s="2" t="s">
        <v>3834</v>
      </c>
      <c r="J218" s="2" t="s">
        <v>3835</v>
      </c>
      <c r="K218" s="2" t="s">
        <v>68</v>
      </c>
      <c r="L218" s="2" t="s">
        <v>3836</v>
      </c>
      <c r="M218" s="2" t="s">
        <v>86</v>
      </c>
      <c r="N218" s="2" t="s">
        <v>3837</v>
      </c>
      <c r="O218" s="2" t="s">
        <v>3838</v>
      </c>
      <c r="P218" s="2" t="s">
        <v>3172</v>
      </c>
      <c r="Q218" s="2" t="s">
        <v>3173</v>
      </c>
      <c r="R218" s="2" t="s">
        <v>3839</v>
      </c>
      <c r="S218" s="2" t="s">
        <v>3840</v>
      </c>
      <c r="T218" s="2" t="s">
        <v>86</v>
      </c>
      <c r="U218" s="2" t="s">
        <v>86</v>
      </c>
      <c r="V218" s="2" t="s">
        <v>86</v>
      </c>
      <c r="W218" s="2" t="s">
        <v>80</v>
      </c>
      <c r="X218" s="4">
        <v>57</v>
      </c>
      <c r="Y218" s="4">
        <v>20</v>
      </c>
      <c r="Z218" s="4">
        <v>20</v>
      </c>
      <c r="AA218" s="4">
        <v>7</v>
      </c>
      <c r="AB218" s="4">
        <v>42</v>
      </c>
      <c r="AC218" s="2" t="s">
        <v>260</v>
      </c>
      <c r="AD218" s="2" t="s">
        <v>261</v>
      </c>
      <c r="AE218" s="2" t="s">
        <v>262</v>
      </c>
      <c r="AF218" s="2" t="s">
        <v>3841</v>
      </c>
      <c r="AG218" s="2" t="s">
        <v>3842</v>
      </c>
      <c r="AH218" s="2" t="s">
        <v>86</v>
      </c>
      <c r="AI218" s="2" t="s">
        <v>3843</v>
      </c>
      <c r="AJ218" s="2" t="s">
        <v>3844</v>
      </c>
      <c r="AK218" s="2" t="s">
        <v>3845</v>
      </c>
      <c r="AL218" s="4">
        <v>2021</v>
      </c>
      <c r="AM218" s="4">
        <v>84</v>
      </c>
      <c r="AN218" s="4">
        <v>16</v>
      </c>
      <c r="AO218" s="2" t="s">
        <v>86</v>
      </c>
      <c r="AP218" s="2" t="s">
        <v>86</v>
      </c>
      <c r="AQ218" s="2" t="s">
        <v>86</v>
      </c>
      <c r="AR218" s="2" t="s">
        <v>86</v>
      </c>
      <c r="AS218" s="4">
        <v>649</v>
      </c>
      <c r="AT218" s="4">
        <v>660</v>
      </c>
      <c r="AU218" s="2" t="s">
        <v>86</v>
      </c>
      <c r="AV218" s="2" t="s">
        <v>86</v>
      </c>
      <c r="AW218" s="2" t="s">
        <v>1322</v>
      </c>
      <c r="AX218" s="4">
        <v>12</v>
      </c>
      <c r="AY218" s="2" t="s">
        <v>3846</v>
      </c>
      <c r="AZ218" s="2" t="s">
        <v>92</v>
      </c>
      <c r="BA218" s="2" t="s">
        <v>3847</v>
      </c>
      <c r="BB218" s="2" t="s">
        <v>3848</v>
      </c>
      <c r="BC218" s="4">
        <v>33874844</v>
      </c>
      <c r="BD218" s="2" t="s">
        <v>86</v>
      </c>
      <c r="BE218" s="2" t="s">
        <v>86</v>
      </c>
      <c r="BF218" s="2" t="s">
        <v>86</v>
      </c>
      <c r="BG218" s="2" t="s">
        <v>95</v>
      </c>
      <c r="BH218" s="2" t="s">
        <v>3849</v>
      </c>
      <c r="BI218" s="2" t="str">
        <f>HYPERLINK("https%3A%2F%2Fwww.webofscience.com%2Fwos%2Fwoscc%2Ffull-record%2FWOS:000641507300001","View Full Record in Web of Science")</f>
        <v>View Full Record in Web of Science</v>
      </c>
    </row>
    <row r="219" spans="1:61" ht="12.75" x14ac:dyDescent="0.2">
      <c r="A219" s="8">
        <v>216</v>
      </c>
      <c r="B219" s="8" t="s">
        <v>1049</v>
      </c>
      <c r="C219" s="8" t="s">
        <v>3850</v>
      </c>
      <c r="D219" s="9" t="s">
        <v>3851</v>
      </c>
      <c r="E219" s="9" t="s">
        <v>3852</v>
      </c>
      <c r="F219" s="11" t="str">
        <f>HYPERLINK("http://dx.doi.org/10.1016/j.envpol.2022.119576","http://dx.doi.org/10.1016/j.envpol.2022.119576")</f>
        <v>http://dx.doi.org/10.1016/j.envpol.2022.119576</v>
      </c>
      <c r="G219" s="9" t="s">
        <v>200</v>
      </c>
      <c r="H219" s="9" t="s">
        <v>3853</v>
      </c>
      <c r="I219" s="9" t="s">
        <v>3854</v>
      </c>
      <c r="J219" s="9" t="s">
        <v>102</v>
      </c>
      <c r="K219" s="9" t="s">
        <v>68</v>
      </c>
      <c r="L219" s="9" t="s">
        <v>3855</v>
      </c>
      <c r="M219" s="9" t="s">
        <v>3856</v>
      </c>
      <c r="N219" s="9" t="s">
        <v>3857</v>
      </c>
      <c r="O219" s="9" t="s">
        <v>1233</v>
      </c>
      <c r="P219" s="9" t="s">
        <v>3858</v>
      </c>
      <c r="Q219" s="9" t="s">
        <v>1726</v>
      </c>
      <c r="R219" s="9" t="s">
        <v>3859</v>
      </c>
      <c r="S219" s="9" t="s">
        <v>3860</v>
      </c>
      <c r="T219" s="9" t="s">
        <v>86</v>
      </c>
      <c r="U219" s="9" t="s">
        <v>86</v>
      </c>
      <c r="V219" s="9" t="s">
        <v>86</v>
      </c>
      <c r="W219" s="9" t="s">
        <v>80</v>
      </c>
      <c r="X219" s="12">
        <v>77</v>
      </c>
      <c r="Y219" s="12">
        <v>6</v>
      </c>
      <c r="Z219" s="12">
        <v>6</v>
      </c>
      <c r="AA219" s="12">
        <v>15</v>
      </c>
      <c r="AB219" s="12">
        <v>68</v>
      </c>
      <c r="AC219" s="9" t="s">
        <v>114</v>
      </c>
      <c r="AD219" s="9" t="s">
        <v>115</v>
      </c>
      <c r="AE219" s="9" t="s">
        <v>116</v>
      </c>
      <c r="AF219" s="9" t="s">
        <v>117</v>
      </c>
      <c r="AG219" s="9" t="s">
        <v>118</v>
      </c>
      <c r="AH219" s="9" t="s">
        <v>86</v>
      </c>
      <c r="AI219" s="9" t="s">
        <v>119</v>
      </c>
      <c r="AJ219" s="9" t="s">
        <v>120</v>
      </c>
      <c r="AK219" s="9" t="s">
        <v>2684</v>
      </c>
      <c r="AL219" s="12">
        <v>2022</v>
      </c>
      <c r="AM219" s="12">
        <v>307</v>
      </c>
      <c r="AN219" s="9" t="s">
        <v>86</v>
      </c>
      <c r="AO219" s="9" t="s">
        <v>86</v>
      </c>
      <c r="AP219" s="9" t="s">
        <v>86</v>
      </c>
      <c r="AQ219" s="9" t="s">
        <v>86</v>
      </c>
      <c r="AR219" s="9" t="s">
        <v>86</v>
      </c>
      <c r="AS219" s="9" t="s">
        <v>86</v>
      </c>
      <c r="AT219" s="9" t="s">
        <v>86</v>
      </c>
      <c r="AU219" s="12">
        <v>119576</v>
      </c>
      <c r="AV219" s="9" t="s">
        <v>86</v>
      </c>
      <c r="AW219" s="9" t="s">
        <v>1289</v>
      </c>
      <c r="AX219" s="12">
        <v>9</v>
      </c>
      <c r="AY219" s="9" t="s">
        <v>91</v>
      </c>
      <c r="AZ219" s="9" t="s">
        <v>92</v>
      </c>
      <c r="BA219" s="9" t="s">
        <v>93</v>
      </c>
      <c r="BB219" s="9" t="s">
        <v>3861</v>
      </c>
      <c r="BC219" s="12">
        <v>35671895</v>
      </c>
      <c r="BD219" s="9" t="s">
        <v>86</v>
      </c>
      <c r="BE219" s="9" t="s">
        <v>86</v>
      </c>
      <c r="BF219" s="9" t="s">
        <v>86</v>
      </c>
      <c r="BG219" s="9" t="s">
        <v>95</v>
      </c>
      <c r="BH219" s="9" t="s">
        <v>3862</v>
      </c>
      <c r="BI219" s="9" t="str">
        <f>HYPERLINK("https%3A%2F%2Fwww.webofscience.com%2Fwos%2Fwoscc%2Ffull-record%2FWOS:000811646300005","View Full Record in Web of Science")</f>
        <v>View Full Record in Web of Science</v>
      </c>
    </row>
    <row r="220" spans="1:61" customFormat="1" ht="12.75" x14ac:dyDescent="0.2">
      <c r="A220" s="1">
        <v>217</v>
      </c>
      <c r="B220" s="1" t="s">
        <v>1068</v>
      </c>
      <c r="C220" s="1" t="s">
        <v>3863</v>
      </c>
      <c r="D220" s="2" t="s">
        <v>3864</v>
      </c>
      <c r="E220" s="2" t="s">
        <v>3865</v>
      </c>
      <c r="F220" s="3" t="str">
        <f>HYPERLINK("http://dx.doi.org/10.4194/TRJFAS19998","http://dx.doi.org/10.4194/TRJFAS19998")</f>
        <v>http://dx.doi.org/10.4194/TRJFAS19998</v>
      </c>
      <c r="G220" s="2" t="s">
        <v>200</v>
      </c>
      <c r="H220" s="2" t="s">
        <v>3866</v>
      </c>
      <c r="I220" s="2" t="s">
        <v>3867</v>
      </c>
      <c r="J220" s="2" t="s">
        <v>620</v>
      </c>
      <c r="K220" s="2" t="s">
        <v>68</v>
      </c>
      <c r="L220" s="2" t="s">
        <v>3868</v>
      </c>
      <c r="M220" s="2" t="s">
        <v>3869</v>
      </c>
      <c r="N220" s="2" t="s">
        <v>3870</v>
      </c>
      <c r="O220" s="2" t="s">
        <v>3871</v>
      </c>
      <c r="P220" s="2" t="s">
        <v>3872</v>
      </c>
      <c r="Q220" s="2" t="s">
        <v>3873</v>
      </c>
      <c r="R220" s="2" t="s">
        <v>3874</v>
      </c>
      <c r="S220" s="2" t="s">
        <v>3875</v>
      </c>
      <c r="T220" s="2" t="s">
        <v>3876</v>
      </c>
      <c r="U220" s="2" t="s">
        <v>3876</v>
      </c>
      <c r="V220" s="2" t="s">
        <v>3877</v>
      </c>
      <c r="W220" s="2" t="s">
        <v>80</v>
      </c>
      <c r="X220" s="4">
        <v>37</v>
      </c>
      <c r="Y220" s="4">
        <v>1</v>
      </c>
      <c r="Z220" s="4">
        <v>1</v>
      </c>
      <c r="AA220" s="4">
        <v>10</v>
      </c>
      <c r="AB220" s="4">
        <v>41</v>
      </c>
      <c r="AC220" s="2" t="s">
        <v>629</v>
      </c>
      <c r="AD220" s="2" t="s">
        <v>630</v>
      </c>
      <c r="AE220" s="2" t="s">
        <v>631</v>
      </c>
      <c r="AF220" s="2" t="s">
        <v>632</v>
      </c>
      <c r="AG220" s="2" t="s">
        <v>633</v>
      </c>
      <c r="AH220" s="2" t="s">
        <v>86</v>
      </c>
      <c r="AI220" s="2" t="s">
        <v>634</v>
      </c>
      <c r="AJ220" s="2" t="s">
        <v>635</v>
      </c>
      <c r="AK220" s="2" t="s">
        <v>1458</v>
      </c>
      <c r="AL220" s="4">
        <v>2022</v>
      </c>
      <c r="AM220" s="4">
        <v>22</v>
      </c>
      <c r="AN220" s="4">
        <v>7</v>
      </c>
      <c r="AO220" s="2" t="s">
        <v>86</v>
      </c>
      <c r="AP220" s="2" t="s">
        <v>86</v>
      </c>
      <c r="AQ220" s="2" t="s">
        <v>963</v>
      </c>
      <c r="AR220" s="2" t="s">
        <v>86</v>
      </c>
      <c r="AS220" s="2" t="s">
        <v>86</v>
      </c>
      <c r="AT220" s="2" t="s">
        <v>86</v>
      </c>
      <c r="AU220" s="2" t="s">
        <v>3878</v>
      </c>
      <c r="AV220" s="2" t="s">
        <v>86</v>
      </c>
      <c r="AW220" s="2" t="s">
        <v>86</v>
      </c>
      <c r="AX220" s="4">
        <v>9</v>
      </c>
      <c r="AY220" s="2" t="s">
        <v>319</v>
      </c>
      <c r="AZ220" s="2" t="s">
        <v>92</v>
      </c>
      <c r="BA220" s="2" t="s">
        <v>319</v>
      </c>
      <c r="BB220" s="2" t="s">
        <v>2409</v>
      </c>
      <c r="BC220" s="2" t="s">
        <v>86</v>
      </c>
      <c r="BD220" s="2" t="s">
        <v>321</v>
      </c>
      <c r="BE220" s="2" t="s">
        <v>86</v>
      </c>
      <c r="BF220" s="2" t="s">
        <v>86</v>
      </c>
      <c r="BG220" s="2" t="s">
        <v>95</v>
      </c>
      <c r="BH220" s="2" t="s">
        <v>3879</v>
      </c>
      <c r="BI220" s="2" t="str">
        <f>HYPERLINK("https%3A%2F%2Fwww.webofscience.com%2Fwos%2Fwoscc%2Ffull-record%2FWOS:000898185300002","View Full Record in Web of Science")</f>
        <v>View Full Record in Web of Science</v>
      </c>
    </row>
    <row r="221" spans="1:61" customFormat="1" ht="12.75" x14ac:dyDescent="0.2">
      <c r="A221" s="1">
        <v>218</v>
      </c>
      <c r="B221" s="1" t="s">
        <v>1068</v>
      </c>
      <c r="C221" s="1" t="s">
        <v>3880</v>
      </c>
      <c r="D221" s="2" t="s">
        <v>3881</v>
      </c>
      <c r="E221" s="2" t="s">
        <v>3882</v>
      </c>
      <c r="F221" s="3" t="str">
        <f>HYPERLINK("http://dx.doi.org/10.3389/fenvs.2022.885875","http://dx.doi.org/10.3389/fenvs.2022.885875")</f>
        <v>http://dx.doi.org/10.3389/fenvs.2022.885875</v>
      </c>
      <c r="G221" s="2" t="s">
        <v>200</v>
      </c>
      <c r="H221" s="2" t="s">
        <v>3883</v>
      </c>
      <c r="I221" s="2" t="s">
        <v>3884</v>
      </c>
      <c r="J221" s="2" t="s">
        <v>3885</v>
      </c>
      <c r="K221" s="2" t="s">
        <v>68</v>
      </c>
      <c r="L221" s="2" t="s">
        <v>3886</v>
      </c>
      <c r="M221" s="2" t="s">
        <v>3887</v>
      </c>
      <c r="N221" s="2" t="s">
        <v>3888</v>
      </c>
      <c r="O221" s="2" t="s">
        <v>3889</v>
      </c>
      <c r="P221" s="2" t="s">
        <v>3890</v>
      </c>
      <c r="Q221" s="2" t="s">
        <v>3891</v>
      </c>
      <c r="R221" s="2" t="s">
        <v>3892</v>
      </c>
      <c r="S221" s="2" t="s">
        <v>3893</v>
      </c>
      <c r="T221" s="2" t="s">
        <v>86</v>
      </c>
      <c r="U221" s="2" t="s">
        <v>86</v>
      </c>
      <c r="V221" s="2" t="s">
        <v>86</v>
      </c>
      <c r="W221" s="2" t="s">
        <v>80</v>
      </c>
      <c r="X221" s="4">
        <v>35</v>
      </c>
      <c r="Y221" s="4">
        <v>0</v>
      </c>
      <c r="Z221" s="4">
        <v>0</v>
      </c>
      <c r="AA221" s="4">
        <v>17</v>
      </c>
      <c r="AB221" s="4">
        <v>39</v>
      </c>
      <c r="AC221" s="2" t="s">
        <v>782</v>
      </c>
      <c r="AD221" s="2" t="s">
        <v>783</v>
      </c>
      <c r="AE221" s="2" t="s">
        <v>784</v>
      </c>
      <c r="AF221" s="2" t="s">
        <v>86</v>
      </c>
      <c r="AG221" s="2" t="s">
        <v>3894</v>
      </c>
      <c r="AH221" s="2" t="s">
        <v>86</v>
      </c>
      <c r="AI221" s="2" t="s">
        <v>3895</v>
      </c>
      <c r="AJ221" s="2" t="s">
        <v>3896</v>
      </c>
      <c r="AK221" s="2" t="s">
        <v>3897</v>
      </c>
      <c r="AL221" s="4">
        <v>2022</v>
      </c>
      <c r="AM221" s="4">
        <v>10</v>
      </c>
      <c r="AN221" s="2" t="s">
        <v>86</v>
      </c>
      <c r="AO221" s="2" t="s">
        <v>86</v>
      </c>
      <c r="AP221" s="2" t="s">
        <v>86</v>
      </c>
      <c r="AQ221" s="2" t="s">
        <v>86</v>
      </c>
      <c r="AR221" s="2" t="s">
        <v>86</v>
      </c>
      <c r="AS221" s="2" t="s">
        <v>86</v>
      </c>
      <c r="AT221" s="2" t="s">
        <v>86</v>
      </c>
      <c r="AU221" s="4">
        <v>885875</v>
      </c>
      <c r="AV221" s="2" t="s">
        <v>86</v>
      </c>
      <c r="AW221" s="2" t="s">
        <v>86</v>
      </c>
      <c r="AX221" s="4">
        <v>11</v>
      </c>
      <c r="AY221" s="2" t="s">
        <v>91</v>
      </c>
      <c r="AZ221" s="2" t="s">
        <v>92</v>
      </c>
      <c r="BA221" s="2" t="s">
        <v>93</v>
      </c>
      <c r="BB221" s="2" t="s">
        <v>3898</v>
      </c>
      <c r="BC221" s="2" t="s">
        <v>86</v>
      </c>
      <c r="BD221" s="2" t="s">
        <v>321</v>
      </c>
      <c r="BE221" s="2" t="s">
        <v>86</v>
      </c>
      <c r="BF221" s="2" t="s">
        <v>86</v>
      </c>
      <c r="BG221" s="2" t="s">
        <v>95</v>
      </c>
      <c r="BH221" s="2" t="s">
        <v>3899</v>
      </c>
      <c r="BI221" s="2" t="str">
        <f>HYPERLINK("https%3A%2F%2Fwww.webofscience.com%2Fwos%2Fwoscc%2Ffull-record%2FWOS:000830224000001","View Full Record in Web of Science")</f>
        <v>View Full Record in Web of Science</v>
      </c>
    </row>
    <row r="222" spans="1:61" customFormat="1" ht="12.75" x14ac:dyDescent="0.2">
      <c r="A222" s="1">
        <v>219</v>
      </c>
      <c r="B222" s="1" t="s">
        <v>1068</v>
      </c>
      <c r="C222" s="1" t="s">
        <v>3900</v>
      </c>
      <c r="D222" s="2" t="s">
        <v>3901</v>
      </c>
      <c r="E222" s="2" t="s">
        <v>3902</v>
      </c>
      <c r="F222" s="3" t="str">
        <f>HYPERLINK("http://dx.doi.org/10.5004/dwt.2022.28849","http://dx.doi.org/10.5004/dwt.2022.28849")</f>
        <v>http://dx.doi.org/10.5004/dwt.2022.28849</v>
      </c>
      <c r="G222" s="2" t="s">
        <v>200</v>
      </c>
      <c r="H222" s="2" t="s">
        <v>3903</v>
      </c>
      <c r="I222" s="2" t="s">
        <v>3904</v>
      </c>
      <c r="J222" s="2" t="s">
        <v>3905</v>
      </c>
      <c r="K222" s="2" t="s">
        <v>68</v>
      </c>
      <c r="L222" s="2" t="s">
        <v>3906</v>
      </c>
      <c r="M222" s="2" t="s">
        <v>3907</v>
      </c>
      <c r="N222" s="2" t="s">
        <v>3908</v>
      </c>
      <c r="O222" s="2" t="s">
        <v>3909</v>
      </c>
      <c r="P222" s="2" t="s">
        <v>3910</v>
      </c>
      <c r="Q222" s="2" t="s">
        <v>3911</v>
      </c>
      <c r="R222" s="2" t="s">
        <v>3912</v>
      </c>
      <c r="S222" s="2" t="s">
        <v>3913</v>
      </c>
      <c r="T222" s="2" t="s">
        <v>86</v>
      </c>
      <c r="U222" s="2" t="s">
        <v>86</v>
      </c>
      <c r="V222" s="2" t="s">
        <v>86</v>
      </c>
      <c r="W222" s="2" t="s">
        <v>80</v>
      </c>
      <c r="X222" s="4">
        <v>162</v>
      </c>
      <c r="Y222" s="4">
        <v>0</v>
      </c>
      <c r="Z222" s="4">
        <v>0</v>
      </c>
      <c r="AA222" s="4">
        <v>23</v>
      </c>
      <c r="AB222" s="4">
        <v>23</v>
      </c>
      <c r="AC222" s="2" t="s">
        <v>3914</v>
      </c>
      <c r="AD222" s="2" t="s">
        <v>3915</v>
      </c>
      <c r="AE222" s="2" t="s">
        <v>3916</v>
      </c>
      <c r="AF222" s="2" t="s">
        <v>3917</v>
      </c>
      <c r="AG222" s="2" t="s">
        <v>3918</v>
      </c>
      <c r="AH222" s="2" t="s">
        <v>86</v>
      </c>
      <c r="AI222" s="2" t="s">
        <v>3919</v>
      </c>
      <c r="AJ222" s="2" t="s">
        <v>3920</v>
      </c>
      <c r="AK222" s="2" t="s">
        <v>873</v>
      </c>
      <c r="AL222" s="4">
        <v>2022</v>
      </c>
      <c r="AM222" s="4">
        <v>272</v>
      </c>
      <c r="AN222" s="2" t="s">
        <v>86</v>
      </c>
      <c r="AO222" s="2" t="s">
        <v>86</v>
      </c>
      <c r="AP222" s="2" t="s">
        <v>86</v>
      </c>
      <c r="AQ222" s="2" t="s">
        <v>86</v>
      </c>
      <c r="AR222" s="2" t="s">
        <v>86</v>
      </c>
      <c r="AS222" s="4">
        <v>233</v>
      </c>
      <c r="AT222" s="4">
        <v>247</v>
      </c>
      <c r="AU222" s="2" t="s">
        <v>86</v>
      </c>
      <c r="AV222" s="2" t="s">
        <v>86</v>
      </c>
      <c r="AW222" s="2" t="s">
        <v>86</v>
      </c>
      <c r="AX222" s="4">
        <v>15</v>
      </c>
      <c r="AY222" s="2" t="s">
        <v>3921</v>
      </c>
      <c r="AZ222" s="2" t="s">
        <v>92</v>
      </c>
      <c r="BA222" s="2" t="s">
        <v>2578</v>
      </c>
      <c r="BB222" s="2" t="s">
        <v>3922</v>
      </c>
      <c r="BC222" s="2" t="s">
        <v>86</v>
      </c>
      <c r="BD222" s="2" t="s">
        <v>86</v>
      </c>
      <c r="BE222" s="2" t="s">
        <v>86</v>
      </c>
      <c r="BF222" s="2" t="s">
        <v>86</v>
      </c>
      <c r="BG222" s="2" t="s">
        <v>95</v>
      </c>
      <c r="BH222" s="2" t="s">
        <v>3923</v>
      </c>
      <c r="BI222" s="2" t="str">
        <f>HYPERLINK("https%3A%2F%2Fwww.webofscience.com%2Fwos%2Fwoscc%2Ffull-record%2FWOS:000903335000021","View Full Record in Web of Science")</f>
        <v>View Full Record in Web of Science</v>
      </c>
    </row>
    <row r="223" spans="1:61" customFormat="1" ht="12.75" x14ac:dyDescent="0.2">
      <c r="A223" s="1">
        <v>220</v>
      </c>
      <c r="B223" s="1" t="s">
        <v>1068</v>
      </c>
      <c r="C223" s="1" t="s">
        <v>3924</v>
      </c>
      <c r="D223" s="2" t="s">
        <v>3925</v>
      </c>
      <c r="E223" s="2" t="s">
        <v>3926</v>
      </c>
      <c r="F223" s="3" t="str">
        <f>HYPERLINK("http://dx.doi.org/10.1016/j.marpolbul.2018.09.019","http://dx.doi.org/10.1016/j.marpolbul.2018.09.019")</f>
        <v>http://dx.doi.org/10.1016/j.marpolbul.2018.09.019</v>
      </c>
      <c r="G223" s="2" t="s">
        <v>200</v>
      </c>
      <c r="H223" s="2" t="s">
        <v>3927</v>
      </c>
      <c r="I223" s="2" t="s">
        <v>3928</v>
      </c>
      <c r="J223" s="2" t="s">
        <v>424</v>
      </c>
      <c r="K223" s="2" t="s">
        <v>68</v>
      </c>
      <c r="L223" s="2" t="s">
        <v>3929</v>
      </c>
      <c r="M223" s="2" t="s">
        <v>3930</v>
      </c>
      <c r="N223" s="2" t="s">
        <v>3931</v>
      </c>
      <c r="O223" s="2" t="s">
        <v>3932</v>
      </c>
      <c r="P223" s="2" t="s">
        <v>3933</v>
      </c>
      <c r="Q223" s="2" t="s">
        <v>3934</v>
      </c>
      <c r="R223" s="2" t="s">
        <v>3935</v>
      </c>
      <c r="S223" s="2" t="s">
        <v>3936</v>
      </c>
      <c r="T223" s="2" t="s">
        <v>3937</v>
      </c>
      <c r="U223" s="2" t="s">
        <v>3938</v>
      </c>
      <c r="V223" s="2" t="s">
        <v>3939</v>
      </c>
      <c r="W223" s="2" t="s">
        <v>80</v>
      </c>
      <c r="X223" s="4">
        <v>69</v>
      </c>
      <c r="Y223" s="4">
        <v>37</v>
      </c>
      <c r="Z223" s="4">
        <v>38</v>
      </c>
      <c r="AA223" s="4">
        <v>10</v>
      </c>
      <c r="AB223" s="4">
        <v>146</v>
      </c>
      <c r="AC223" s="2" t="s">
        <v>237</v>
      </c>
      <c r="AD223" s="2" t="s">
        <v>115</v>
      </c>
      <c r="AE223" s="2" t="s">
        <v>238</v>
      </c>
      <c r="AF223" s="2" t="s">
        <v>436</v>
      </c>
      <c r="AG223" s="2" t="s">
        <v>437</v>
      </c>
      <c r="AH223" s="2" t="s">
        <v>86</v>
      </c>
      <c r="AI223" s="2" t="s">
        <v>438</v>
      </c>
      <c r="AJ223" s="2" t="s">
        <v>439</v>
      </c>
      <c r="AK223" s="2" t="s">
        <v>121</v>
      </c>
      <c r="AL223" s="4">
        <v>2018</v>
      </c>
      <c r="AM223" s="4">
        <v>136</v>
      </c>
      <c r="AN223" s="2" t="s">
        <v>86</v>
      </c>
      <c r="AO223" s="2" t="s">
        <v>86</v>
      </c>
      <c r="AP223" s="2" t="s">
        <v>86</v>
      </c>
      <c r="AQ223" s="2" t="s">
        <v>86</v>
      </c>
      <c r="AR223" s="2" t="s">
        <v>86</v>
      </c>
      <c r="AS223" s="4">
        <v>334</v>
      </c>
      <c r="AT223" s="4">
        <v>340</v>
      </c>
      <c r="AU223" s="2" t="s">
        <v>86</v>
      </c>
      <c r="AV223" s="2" t="s">
        <v>86</v>
      </c>
      <c r="AW223" s="2" t="s">
        <v>86</v>
      </c>
      <c r="AX223" s="4">
        <v>7</v>
      </c>
      <c r="AY223" s="2" t="s">
        <v>441</v>
      </c>
      <c r="AZ223" s="2" t="s">
        <v>92</v>
      </c>
      <c r="BA223" s="2" t="s">
        <v>442</v>
      </c>
      <c r="BB223" s="2" t="s">
        <v>3518</v>
      </c>
      <c r="BC223" s="4">
        <v>30509815</v>
      </c>
      <c r="BD223" s="2" t="s">
        <v>3940</v>
      </c>
      <c r="BE223" s="2" t="s">
        <v>86</v>
      </c>
      <c r="BF223" s="2" t="s">
        <v>86</v>
      </c>
      <c r="BG223" s="2" t="s">
        <v>95</v>
      </c>
      <c r="BH223" s="2" t="s">
        <v>3941</v>
      </c>
      <c r="BI223" s="2" t="str">
        <f>HYPERLINK("https%3A%2F%2Fwww.webofscience.com%2Fwos%2Fwoscc%2Ffull-record%2FWOS:000450382900035","View Full Record in Web of Science")</f>
        <v>View Full Record in Web of Science</v>
      </c>
    </row>
    <row r="224" spans="1:61" customFormat="1" ht="12.75" x14ac:dyDescent="0.2">
      <c r="A224" s="1">
        <v>221</v>
      </c>
      <c r="B224" s="1" t="s">
        <v>1068</v>
      </c>
      <c r="C224" s="1" t="s">
        <v>3942</v>
      </c>
      <c r="D224" s="2" t="s">
        <v>3943</v>
      </c>
      <c r="E224" s="2" t="s">
        <v>3944</v>
      </c>
      <c r="F224" s="3" t="str">
        <f>HYPERLINK("http://dx.doi.org/10.1111/gcb.14519","http://dx.doi.org/10.1111/gcb.14519")</f>
        <v>http://dx.doi.org/10.1111/gcb.14519</v>
      </c>
      <c r="G224" s="2" t="s">
        <v>200</v>
      </c>
      <c r="H224" s="2" t="s">
        <v>3945</v>
      </c>
      <c r="I224" s="2" t="s">
        <v>3946</v>
      </c>
      <c r="J224" s="2" t="s">
        <v>3947</v>
      </c>
      <c r="K224" s="2" t="s">
        <v>68</v>
      </c>
      <c r="L224" s="2" t="s">
        <v>3948</v>
      </c>
      <c r="M224" s="2" t="s">
        <v>3949</v>
      </c>
      <c r="N224" s="2" t="s">
        <v>3950</v>
      </c>
      <c r="O224" s="2" t="s">
        <v>3951</v>
      </c>
      <c r="P224" s="2" t="s">
        <v>3952</v>
      </c>
      <c r="Q224" s="2" t="s">
        <v>3068</v>
      </c>
      <c r="R224" s="2" t="s">
        <v>3953</v>
      </c>
      <c r="S224" s="2" t="s">
        <v>3954</v>
      </c>
      <c r="T224" s="2" t="s">
        <v>3955</v>
      </c>
      <c r="U224" s="2" t="s">
        <v>3956</v>
      </c>
      <c r="V224" s="2" t="s">
        <v>3957</v>
      </c>
      <c r="W224" s="2" t="s">
        <v>80</v>
      </c>
      <c r="X224" s="4">
        <v>85</v>
      </c>
      <c r="Y224" s="4">
        <v>134</v>
      </c>
      <c r="Z224" s="4">
        <v>139</v>
      </c>
      <c r="AA224" s="4">
        <v>25</v>
      </c>
      <c r="AB224" s="4">
        <v>247</v>
      </c>
      <c r="AC224" s="2" t="s">
        <v>956</v>
      </c>
      <c r="AD224" s="2" t="s">
        <v>957</v>
      </c>
      <c r="AE224" s="2" t="s">
        <v>958</v>
      </c>
      <c r="AF224" s="2" t="s">
        <v>3958</v>
      </c>
      <c r="AG224" s="2" t="s">
        <v>3959</v>
      </c>
      <c r="AH224" s="2" t="s">
        <v>86</v>
      </c>
      <c r="AI224" s="2" t="s">
        <v>3960</v>
      </c>
      <c r="AJ224" s="2" t="s">
        <v>3961</v>
      </c>
      <c r="AK224" s="2" t="s">
        <v>146</v>
      </c>
      <c r="AL224" s="4">
        <v>2019</v>
      </c>
      <c r="AM224" s="4">
        <v>25</v>
      </c>
      <c r="AN224" s="4">
        <v>2</v>
      </c>
      <c r="AO224" s="2" t="s">
        <v>86</v>
      </c>
      <c r="AP224" s="2" t="s">
        <v>86</v>
      </c>
      <c r="AQ224" s="2" t="s">
        <v>86</v>
      </c>
      <c r="AR224" s="2" t="s">
        <v>86</v>
      </c>
      <c r="AS224" s="4">
        <v>744</v>
      </c>
      <c r="AT224" s="4">
        <v>752</v>
      </c>
      <c r="AU224" s="2" t="s">
        <v>86</v>
      </c>
      <c r="AV224" s="2" t="s">
        <v>86</v>
      </c>
      <c r="AW224" s="2" t="s">
        <v>86</v>
      </c>
      <c r="AX224" s="4">
        <v>9</v>
      </c>
      <c r="AY224" s="2" t="s">
        <v>3962</v>
      </c>
      <c r="AZ224" s="2" t="s">
        <v>92</v>
      </c>
      <c r="BA224" s="2" t="s">
        <v>3963</v>
      </c>
      <c r="BB224" s="2" t="s">
        <v>3964</v>
      </c>
      <c r="BC224" s="4">
        <v>30513551</v>
      </c>
      <c r="BD224" s="2" t="s">
        <v>3965</v>
      </c>
      <c r="BE224" s="2" t="s">
        <v>86</v>
      </c>
      <c r="BF224" s="2" t="s">
        <v>86</v>
      </c>
      <c r="BG224" s="2" t="s">
        <v>95</v>
      </c>
      <c r="BH224" s="2" t="s">
        <v>3966</v>
      </c>
      <c r="BI224" s="2" t="str">
        <f>HYPERLINK("https%3A%2F%2Fwww.webofscience.com%2Fwos%2Fwoscc%2Ffull-record%2FWOS:000456028900029","View Full Record in Web of Science")</f>
        <v>View Full Record in Web of Science</v>
      </c>
    </row>
    <row r="225" spans="1:61" customFormat="1" ht="12.75" x14ac:dyDescent="0.2">
      <c r="A225" s="1">
        <v>222</v>
      </c>
      <c r="B225" s="1" t="s">
        <v>1068</v>
      </c>
      <c r="C225" s="1" t="s">
        <v>3967</v>
      </c>
      <c r="D225" s="2" t="s">
        <v>3968</v>
      </c>
      <c r="E225" s="2" t="s">
        <v>3969</v>
      </c>
      <c r="F225" s="3" t="str">
        <f>HYPERLINK("http://dx.doi.org/10.1016/j.envres.2019.108815","http://dx.doi.org/10.1016/j.envres.2019.108815")</f>
        <v>http://dx.doi.org/10.1016/j.envres.2019.108815</v>
      </c>
      <c r="G225" s="2" t="s">
        <v>200</v>
      </c>
      <c r="H225" s="2" t="s">
        <v>3970</v>
      </c>
      <c r="I225" s="2" t="s">
        <v>3971</v>
      </c>
      <c r="J225" s="2" t="s">
        <v>1540</v>
      </c>
      <c r="K225" s="2" t="s">
        <v>68</v>
      </c>
      <c r="L225" s="2" t="s">
        <v>3972</v>
      </c>
      <c r="M225" s="2" t="s">
        <v>3973</v>
      </c>
      <c r="N225" s="2" t="s">
        <v>3974</v>
      </c>
      <c r="O225" s="2" t="s">
        <v>3975</v>
      </c>
      <c r="P225" s="2" t="s">
        <v>1018</v>
      </c>
      <c r="Q225" s="2" t="s">
        <v>1019</v>
      </c>
      <c r="R225" s="2" t="s">
        <v>3976</v>
      </c>
      <c r="S225" s="2" t="s">
        <v>3977</v>
      </c>
      <c r="T225" s="2" t="s">
        <v>1022</v>
      </c>
      <c r="U225" s="2" t="s">
        <v>1023</v>
      </c>
      <c r="V225" s="2" t="s">
        <v>3978</v>
      </c>
      <c r="W225" s="2" t="s">
        <v>80</v>
      </c>
      <c r="X225" s="4">
        <v>52</v>
      </c>
      <c r="Y225" s="4">
        <v>43</v>
      </c>
      <c r="Z225" s="4">
        <v>43</v>
      </c>
      <c r="AA225" s="4">
        <v>14</v>
      </c>
      <c r="AB225" s="4">
        <v>111</v>
      </c>
      <c r="AC225" s="2" t="s">
        <v>1550</v>
      </c>
      <c r="AD225" s="2" t="s">
        <v>1551</v>
      </c>
      <c r="AE225" s="2" t="s">
        <v>1552</v>
      </c>
      <c r="AF225" s="2" t="s">
        <v>1553</v>
      </c>
      <c r="AG225" s="2" t="s">
        <v>1554</v>
      </c>
      <c r="AH225" s="2" t="s">
        <v>86</v>
      </c>
      <c r="AI225" s="2" t="s">
        <v>1555</v>
      </c>
      <c r="AJ225" s="2" t="s">
        <v>1556</v>
      </c>
      <c r="AK225" s="2" t="s">
        <v>217</v>
      </c>
      <c r="AL225" s="4">
        <v>2019</v>
      </c>
      <c r="AM225" s="4">
        <v>179</v>
      </c>
      <c r="AN225" s="2" t="s">
        <v>86</v>
      </c>
      <c r="AO225" s="2" t="s">
        <v>86</v>
      </c>
      <c r="AP225" s="2" t="s">
        <v>86</v>
      </c>
      <c r="AQ225" s="2" t="s">
        <v>86</v>
      </c>
      <c r="AR225" s="2" t="s">
        <v>86</v>
      </c>
      <c r="AS225" s="2" t="s">
        <v>86</v>
      </c>
      <c r="AT225" s="2" t="s">
        <v>86</v>
      </c>
      <c r="AU225" s="4">
        <v>108815</v>
      </c>
      <c r="AV225" s="2" t="s">
        <v>86</v>
      </c>
      <c r="AW225" s="2" t="s">
        <v>86</v>
      </c>
      <c r="AX225" s="4">
        <v>7</v>
      </c>
      <c r="AY225" s="2" t="s">
        <v>720</v>
      </c>
      <c r="AZ225" s="2" t="s">
        <v>92</v>
      </c>
      <c r="BA225" s="2" t="s">
        <v>721</v>
      </c>
      <c r="BB225" s="2" t="s">
        <v>3979</v>
      </c>
      <c r="BC225" s="4">
        <v>31629182</v>
      </c>
      <c r="BD225" s="2" t="s">
        <v>497</v>
      </c>
      <c r="BE225" s="2" t="s">
        <v>86</v>
      </c>
      <c r="BF225" s="2" t="s">
        <v>86</v>
      </c>
      <c r="BG225" s="2" t="s">
        <v>95</v>
      </c>
      <c r="BH225" s="2" t="s">
        <v>3980</v>
      </c>
      <c r="BI225" s="2" t="str">
        <f>HYPERLINK("https%3A%2F%2Fwww.webofscience.com%2Fwos%2Fwoscc%2Ffull-record%2FWOS:000497259100061","View Full Record in Web of Science")</f>
        <v>View Full Record in Web of Science</v>
      </c>
    </row>
    <row r="226" spans="1:61" customFormat="1" ht="12.75" x14ac:dyDescent="0.2">
      <c r="A226" s="1">
        <v>223</v>
      </c>
      <c r="B226" s="1" t="s">
        <v>1068</v>
      </c>
      <c r="C226" s="1" t="s">
        <v>3981</v>
      </c>
      <c r="D226" s="2" t="s">
        <v>3982</v>
      </c>
      <c r="E226" s="2" t="s">
        <v>3983</v>
      </c>
      <c r="F226" s="3" t="str">
        <f>HYPERLINK("http://dx.doi.org/10.1016/j.jhazmat.2022.129225","http://dx.doi.org/10.1016/j.jhazmat.2022.129225")</f>
        <v>http://dx.doi.org/10.1016/j.jhazmat.2022.129225</v>
      </c>
      <c r="G226" s="2" t="s">
        <v>200</v>
      </c>
      <c r="H226" s="2" t="s">
        <v>3984</v>
      </c>
      <c r="I226" s="2" t="s">
        <v>3985</v>
      </c>
      <c r="J226" s="2" t="s">
        <v>2836</v>
      </c>
      <c r="K226" s="2" t="s">
        <v>68</v>
      </c>
      <c r="L226" s="2" t="s">
        <v>3986</v>
      </c>
      <c r="M226" s="2" t="s">
        <v>3987</v>
      </c>
      <c r="N226" s="2" t="s">
        <v>3988</v>
      </c>
      <c r="O226" s="2" t="s">
        <v>3989</v>
      </c>
      <c r="P226" s="2" t="s">
        <v>3990</v>
      </c>
      <c r="Q226" s="2" t="s">
        <v>3991</v>
      </c>
      <c r="R226" s="2" t="s">
        <v>3992</v>
      </c>
      <c r="S226" s="2" t="s">
        <v>3993</v>
      </c>
      <c r="T226" s="2" t="s">
        <v>3994</v>
      </c>
      <c r="U226" s="2" t="s">
        <v>3995</v>
      </c>
      <c r="V226" s="2" t="s">
        <v>3996</v>
      </c>
      <c r="W226" s="2" t="s">
        <v>80</v>
      </c>
      <c r="X226" s="4">
        <v>67</v>
      </c>
      <c r="Y226" s="4">
        <v>9</v>
      </c>
      <c r="Z226" s="4">
        <v>9</v>
      </c>
      <c r="AA226" s="4">
        <v>32</v>
      </c>
      <c r="AB226" s="4">
        <v>80</v>
      </c>
      <c r="AC226" s="2" t="s">
        <v>585</v>
      </c>
      <c r="AD226" s="2" t="s">
        <v>586</v>
      </c>
      <c r="AE226" s="2" t="s">
        <v>587</v>
      </c>
      <c r="AF226" s="2" t="s">
        <v>2841</v>
      </c>
      <c r="AG226" s="2" t="s">
        <v>2842</v>
      </c>
      <c r="AH226" s="2" t="s">
        <v>86</v>
      </c>
      <c r="AI226" s="2" t="s">
        <v>2843</v>
      </c>
      <c r="AJ226" s="2" t="s">
        <v>2844</v>
      </c>
      <c r="AK226" s="2" t="s">
        <v>2684</v>
      </c>
      <c r="AL226" s="4">
        <v>2022</v>
      </c>
      <c r="AM226" s="4">
        <v>436</v>
      </c>
      <c r="AN226" s="2" t="s">
        <v>86</v>
      </c>
      <c r="AO226" s="2" t="s">
        <v>86</v>
      </c>
      <c r="AP226" s="2" t="s">
        <v>86</v>
      </c>
      <c r="AQ226" s="2" t="s">
        <v>86</v>
      </c>
      <c r="AR226" s="2" t="s">
        <v>86</v>
      </c>
      <c r="AS226" s="2" t="s">
        <v>86</v>
      </c>
      <c r="AT226" s="2" t="s">
        <v>86</v>
      </c>
      <c r="AU226" s="4">
        <v>129225</v>
      </c>
      <c r="AV226" s="2" t="s">
        <v>86</v>
      </c>
      <c r="AW226" s="2" t="s">
        <v>1289</v>
      </c>
      <c r="AX226" s="4">
        <v>8</v>
      </c>
      <c r="AY226" s="2" t="s">
        <v>567</v>
      </c>
      <c r="AZ226" s="2" t="s">
        <v>92</v>
      </c>
      <c r="BA226" s="2" t="s">
        <v>568</v>
      </c>
      <c r="BB226" s="2" t="s">
        <v>3997</v>
      </c>
      <c r="BC226" s="4">
        <v>35739745</v>
      </c>
      <c r="BD226" s="2" t="s">
        <v>86</v>
      </c>
      <c r="BE226" s="2" t="s">
        <v>86</v>
      </c>
      <c r="BF226" s="2" t="s">
        <v>86</v>
      </c>
      <c r="BG226" s="2" t="s">
        <v>95</v>
      </c>
      <c r="BH226" s="2" t="s">
        <v>3998</v>
      </c>
      <c r="BI226" s="2" t="str">
        <f>HYPERLINK("https%3A%2F%2Fwww.webofscience.com%2Fwos%2Fwoscc%2Ffull-record%2FWOS:000810936900005","View Full Record in Web of Science")</f>
        <v>View Full Record in Web of Science</v>
      </c>
    </row>
    <row r="227" spans="1:61" customFormat="1" ht="12.75" x14ac:dyDescent="0.2">
      <c r="A227" s="1">
        <v>224</v>
      </c>
      <c r="B227" s="1" t="s">
        <v>1068</v>
      </c>
      <c r="C227" s="1" t="s">
        <v>3999</v>
      </c>
      <c r="D227" s="2" t="s">
        <v>4000</v>
      </c>
      <c r="E227" s="2" t="s">
        <v>4001</v>
      </c>
      <c r="F227" s="3" t="str">
        <f>HYPERLINK("http://dx.doi.org/10.1016/j.chemosphere.2018.10.084","http://dx.doi.org/10.1016/j.chemosphere.2018.10.084")</f>
        <v>http://dx.doi.org/10.1016/j.chemosphere.2018.10.084</v>
      </c>
      <c r="G227" s="2" t="s">
        <v>200</v>
      </c>
      <c r="H227" s="2" t="s">
        <v>4002</v>
      </c>
      <c r="I227" s="2" t="s">
        <v>4003</v>
      </c>
      <c r="J227" s="2" t="s">
        <v>227</v>
      </c>
      <c r="K227" s="2" t="s">
        <v>68</v>
      </c>
      <c r="L227" s="2" t="s">
        <v>4004</v>
      </c>
      <c r="M227" s="2" t="s">
        <v>4005</v>
      </c>
      <c r="N227" s="2" t="s">
        <v>4006</v>
      </c>
      <c r="O227" s="2" t="s">
        <v>4007</v>
      </c>
      <c r="P227" s="2" t="s">
        <v>4008</v>
      </c>
      <c r="Q227" s="2" t="s">
        <v>4009</v>
      </c>
      <c r="R227" s="2" t="s">
        <v>4010</v>
      </c>
      <c r="S227" s="2" t="s">
        <v>4011</v>
      </c>
      <c r="T227" s="2" t="s">
        <v>4012</v>
      </c>
      <c r="U227" s="2" t="s">
        <v>4013</v>
      </c>
      <c r="V227" s="2" t="s">
        <v>4014</v>
      </c>
      <c r="W227" s="2" t="s">
        <v>80</v>
      </c>
      <c r="X227" s="4">
        <v>87</v>
      </c>
      <c r="Y227" s="4">
        <v>36</v>
      </c>
      <c r="Z227" s="4">
        <v>38</v>
      </c>
      <c r="AA227" s="4">
        <v>4</v>
      </c>
      <c r="AB227" s="4">
        <v>133</v>
      </c>
      <c r="AC227" s="2" t="s">
        <v>237</v>
      </c>
      <c r="AD227" s="2" t="s">
        <v>115</v>
      </c>
      <c r="AE227" s="2" t="s">
        <v>238</v>
      </c>
      <c r="AF227" s="2" t="s">
        <v>239</v>
      </c>
      <c r="AG227" s="2" t="s">
        <v>240</v>
      </c>
      <c r="AH227" s="2" t="s">
        <v>86</v>
      </c>
      <c r="AI227" s="2" t="s">
        <v>227</v>
      </c>
      <c r="AJ227" s="2" t="s">
        <v>241</v>
      </c>
      <c r="AK227" s="2" t="s">
        <v>146</v>
      </c>
      <c r="AL227" s="4">
        <v>2019</v>
      </c>
      <c r="AM227" s="4">
        <v>216</v>
      </c>
      <c r="AN227" s="2" t="s">
        <v>86</v>
      </c>
      <c r="AO227" s="2" t="s">
        <v>86</v>
      </c>
      <c r="AP227" s="2" t="s">
        <v>86</v>
      </c>
      <c r="AQ227" s="2" t="s">
        <v>86</v>
      </c>
      <c r="AR227" s="2" t="s">
        <v>86</v>
      </c>
      <c r="AS227" s="4">
        <v>271</v>
      </c>
      <c r="AT227" s="4">
        <v>280</v>
      </c>
      <c r="AU227" s="2" t="s">
        <v>86</v>
      </c>
      <c r="AV227" s="2" t="s">
        <v>86</v>
      </c>
      <c r="AW227" s="2" t="s">
        <v>86</v>
      </c>
      <c r="AX227" s="4">
        <v>10</v>
      </c>
      <c r="AY227" s="2" t="s">
        <v>91</v>
      </c>
      <c r="AZ227" s="2" t="s">
        <v>92</v>
      </c>
      <c r="BA227" s="2" t="s">
        <v>93</v>
      </c>
      <c r="BB227" s="2" t="s">
        <v>4015</v>
      </c>
      <c r="BC227" s="4">
        <v>30384295</v>
      </c>
      <c r="BD227" s="2" t="s">
        <v>86</v>
      </c>
      <c r="BE227" s="2" t="s">
        <v>86</v>
      </c>
      <c r="BF227" s="2" t="s">
        <v>86</v>
      </c>
      <c r="BG227" s="2" t="s">
        <v>95</v>
      </c>
      <c r="BH227" s="2" t="s">
        <v>4016</v>
      </c>
      <c r="BI227" s="2" t="str">
        <f>HYPERLINK("https%3A%2F%2Fwww.webofscience.com%2Fwos%2Fwoscc%2Ffull-record%2FWOS:000451494600029","View Full Record in Web of Science")</f>
        <v>View Full Record in Web of Science</v>
      </c>
    </row>
    <row r="228" spans="1:61" customFormat="1" ht="12.75" x14ac:dyDescent="0.2">
      <c r="A228" s="1">
        <v>225</v>
      </c>
      <c r="B228" s="1" t="s">
        <v>1068</v>
      </c>
      <c r="C228" s="1" t="s">
        <v>4017</v>
      </c>
      <c r="D228" s="2" t="s">
        <v>4018</v>
      </c>
      <c r="E228" s="2" t="s">
        <v>4019</v>
      </c>
      <c r="F228" s="3" t="str">
        <f>HYPERLINK("http://dx.doi.org/10.1016/j.envpol.2020.114248","http://dx.doi.org/10.1016/j.envpol.2020.114248")</f>
        <v>http://dx.doi.org/10.1016/j.envpol.2020.114248</v>
      </c>
      <c r="G228" s="2" t="s">
        <v>200</v>
      </c>
      <c r="H228" s="2" t="s">
        <v>4020</v>
      </c>
      <c r="I228" s="2" t="s">
        <v>4021</v>
      </c>
      <c r="J228" s="2" t="s">
        <v>102</v>
      </c>
      <c r="K228" s="2" t="s">
        <v>68</v>
      </c>
      <c r="L228" s="2" t="s">
        <v>4022</v>
      </c>
      <c r="M228" s="2" t="s">
        <v>4023</v>
      </c>
      <c r="N228" s="2" t="s">
        <v>4024</v>
      </c>
      <c r="O228" s="2" t="s">
        <v>4025</v>
      </c>
      <c r="P228" s="2" t="s">
        <v>4026</v>
      </c>
      <c r="Q228" s="2" t="s">
        <v>4027</v>
      </c>
      <c r="R228" s="2" t="s">
        <v>4028</v>
      </c>
      <c r="S228" s="2" t="s">
        <v>4029</v>
      </c>
      <c r="T228" s="2" t="s">
        <v>4030</v>
      </c>
      <c r="U228" s="2" t="s">
        <v>4031</v>
      </c>
      <c r="V228" s="2" t="s">
        <v>4032</v>
      </c>
      <c r="W228" s="2" t="s">
        <v>80</v>
      </c>
      <c r="X228" s="4">
        <v>67</v>
      </c>
      <c r="Y228" s="4">
        <v>38</v>
      </c>
      <c r="Z228" s="4">
        <v>39</v>
      </c>
      <c r="AA228" s="4">
        <v>6</v>
      </c>
      <c r="AB228" s="4">
        <v>46</v>
      </c>
      <c r="AC228" s="2" t="s">
        <v>114</v>
      </c>
      <c r="AD228" s="2" t="s">
        <v>115</v>
      </c>
      <c r="AE228" s="2" t="s">
        <v>116</v>
      </c>
      <c r="AF228" s="2" t="s">
        <v>117</v>
      </c>
      <c r="AG228" s="2" t="s">
        <v>118</v>
      </c>
      <c r="AH228" s="2" t="s">
        <v>86</v>
      </c>
      <c r="AI228" s="2" t="s">
        <v>119</v>
      </c>
      <c r="AJ228" s="2" t="s">
        <v>120</v>
      </c>
      <c r="AK228" s="2" t="s">
        <v>1458</v>
      </c>
      <c r="AL228" s="4">
        <v>2020</v>
      </c>
      <c r="AM228" s="4">
        <v>262</v>
      </c>
      <c r="AN228" s="2" t="s">
        <v>86</v>
      </c>
      <c r="AO228" s="2" t="s">
        <v>86</v>
      </c>
      <c r="AP228" s="2" t="s">
        <v>86</v>
      </c>
      <c r="AQ228" s="2" t="s">
        <v>86</v>
      </c>
      <c r="AR228" s="2" t="s">
        <v>86</v>
      </c>
      <c r="AS228" s="2" t="s">
        <v>86</v>
      </c>
      <c r="AT228" s="2" t="s">
        <v>86</v>
      </c>
      <c r="AU228" s="4">
        <v>114248</v>
      </c>
      <c r="AV228" s="2" t="s">
        <v>86</v>
      </c>
      <c r="AW228" s="2" t="s">
        <v>86</v>
      </c>
      <c r="AX228" s="4">
        <v>9</v>
      </c>
      <c r="AY228" s="2" t="s">
        <v>91</v>
      </c>
      <c r="AZ228" s="2" t="s">
        <v>92</v>
      </c>
      <c r="BA228" s="2" t="s">
        <v>93</v>
      </c>
      <c r="BB228" s="2" t="s">
        <v>3561</v>
      </c>
      <c r="BC228" s="4">
        <v>32169725</v>
      </c>
      <c r="BD228" s="2" t="s">
        <v>497</v>
      </c>
      <c r="BE228" s="2" t="s">
        <v>86</v>
      </c>
      <c r="BF228" s="2" t="s">
        <v>86</v>
      </c>
      <c r="BG228" s="2" t="s">
        <v>95</v>
      </c>
      <c r="BH228" s="2" t="s">
        <v>4033</v>
      </c>
      <c r="BI228" s="2" t="str">
        <f>HYPERLINK("https%3A%2F%2Fwww.webofscience.com%2Fwos%2Fwoscc%2Ffull-record%2FWOS:000533524300077","View Full Record in Web of Science")</f>
        <v>View Full Record in Web of Science</v>
      </c>
    </row>
    <row r="229" spans="1:61" customFormat="1" ht="12.75" x14ac:dyDescent="0.2">
      <c r="A229" s="1">
        <v>226</v>
      </c>
      <c r="B229" s="1" t="s">
        <v>1068</v>
      </c>
      <c r="C229" s="1" t="s">
        <v>4034</v>
      </c>
      <c r="D229" s="2" t="s">
        <v>4035</v>
      </c>
      <c r="E229" s="2" t="s">
        <v>4036</v>
      </c>
      <c r="F229" s="3" t="str">
        <f>HYPERLINK("http://dx.doi.org/10.3390/ijms24044136","http://dx.doi.org/10.3390/ijms24044136")</f>
        <v>http://dx.doi.org/10.3390/ijms24044136</v>
      </c>
      <c r="G229" s="2" t="s">
        <v>200</v>
      </c>
      <c r="H229" s="2" t="s">
        <v>4037</v>
      </c>
      <c r="I229" s="2" t="s">
        <v>4038</v>
      </c>
      <c r="J229" s="2" t="s">
        <v>4039</v>
      </c>
      <c r="K229" s="2" t="s">
        <v>68</v>
      </c>
      <c r="L229" s="2" t="s">
        <v>4040</v>
      </c>
      <c r="M229" s="2" t="s">
        <v>4041</v>
      </c>
      <c r="N229" s="2" t="s">
        <v>4042</v>
      </c>
      <c r="O229" s="2" t="s">
        <v>4043</v>
      </c>
      <c r="P229" s="2" t="s">
        <v>4044</v>
      </c>
      <c r="Q229" s="2" t="s">
        <v>1019</v>
      </c>
      <c r="R229" s="2" t="s">
        <v>86</v>
      </c>
      <c r="S229" s="2" t="s">
        <v>4045</v>
      </c>
      <c r="T229" s="2" t="s">
        <v>4046</v>
      </c>
      <c r="U229" s="2" t="s">
        <v>4047</v>
      </c>
      <c r="V229" s="2" t="s">
        <v>4048</v>
      </c>
      <c r="W229" s="2" t="s">
        <v>80</v>
      </c>
      <c r="X229" s="4">
        <v>46</v>
      </c>
      <c r="Y229" s="4">
        <v>0</v>
      </c>
      <c r="Z229" s="4">
        <v>0</v>
      </c>
      <c r="AA229" s="4">
        <v>10</v>
      </c>
      <c r="AB229" s="4">
        <v>10</v>
      </c>
      <c r="AC229" s="2" t="s">
        <v>211</v>
      </c>
      <c r="AD229" s="2" t="s">
        <v>212</v>
      </c>
      <c r="AE229" s="2" t="s">
        <v>213</v>
      </c>
      <c r="AF229" s="2" t="s">
        <v>86</v>
      </c>
      <c r="AG229" s="2" t="s">
        <v>4049</v>
      </c>
      <c r="AH229" s="2" t="s">
        <v>86</v>
      </c>
      <c r="AI229" s="2" t="s">
        <v>4050</v>
      </c>
      <c r="AJ229" s="2" t="s">
        <v>4051</v>
      </c>
      <c r="AK229" s="2" t="s">
        <v>146</v>
      </c>
      <c r="AL229" s="4">
        <v>2023</v>
      </c>
      <c r="AM229" s="4">
        <v>24</v>
      </c>
      <c r="AN229" s="4">
        <v>4</v>
      </c>
      <c r="AO229" s="2" t="s">
        <v>86</v>
      </c>
      <c r="AP229" s="2" t="s">
        <v>86</v>
      </c>
      <c r="AQ229" s="2" t="s">
        <v>86</v>
      </c>
      <c r="AR229" s="2" t="s">
        <v>86</v>
      </c>
      <c r="AS229" s="2" t="s">
        <v>86</v>
      </c>
      <c r="AT229" s="2" t="s">
        <v>86</v>
      </c>
      <c r="AU229" s="4">
        <v>4136</v>
      </c>
      <c r="AV229" s="2" t="s">
        <v>86</v>
      </c>
      <c r="AW229" s="2" t="s">
        <v>86</v>
      </c>
      <c r="AX229" s="4">
        <v>12</v>
      </c>
      <c r="AY229" s="2" t="s">
        <v>4052</v>
      </c>
      <c r="AZ229" s="2" t="s">
        <v>92</v>
      </c>
      <c r="BA229" s="2" t="s">
        <v>4053</v>
      </c>
      <c r="BB229" s="2" t="s">
        <v>4054</v>
      </c>
      <c r="BC229" s="4">
        <v>36835548</v>
      </c>
      <c r="BD229" s="2" t="s">
        <v>723</v>
      </c>
      <c r="BE229" s="2" t="s">
        <v>86</v>
      </c>
      <c r="BF229" s="2" t="s">
        <v>86</v>
      </c>
      <c r="BG229" s="2" t="s">
        <v>95</v>
      </c>
      <c r="BH229" s="2" t="s">
        <v>4055</v>
      </c>
      <c r="BI229" s="2" t="str">
        <f>HYPERLINK("https%3A%2F%2Fwww.webofscience.com%2Fwos%2Fwoscc%2Ffull-record%2FWOS:000938557600001","View Full Record in Web of Science")</f>
        <v>View Full Record in Web of Science</v>
      </c>
    </row>
    <row r="230" spans="1:61" customFormat="1" ht="12.75" x14ac:dyDescent="0.2">
      <c r="A230" s="1">
        <v>227</v>
      </c>
      <c r="B230" s="1" t="s">
        <v>1068</v>
      </c>
      <c r="C230" s="1" t="s">
        <v>4056</v>
      </c>
      <c r="D230" s="2" t="s">
        <v>4057</v>
      </c>
      <c r="E230" s="2" t="s">
        <v>4058</v>
      </c>
      <c r="F230" s="3" t="str">
        <f>HYPERLINK("http://dx.doi.org/10.3390/su15086811","http://dx.doi.org/10.3390/su15086811")</f>
        <v>http://dx.doi.org/10.3390/su15086811</v>
      </c>
      <c r="G230" s="2" t="s">
        <v>200</v>
      </c>
      <c r="H230" s="2" t="s">
        <v>4059</v>
      </c>
      <c r="I230" s="2" t="s">
        <v>4060</v>
      </c>
      <c r="J230" s="2" t="s">
        <v>522</v>
      </c>
      <c r="K230" s="2" t="s">
        <v>68</v>
      </c>
      <c r="L230" s="2" t="s">
        <v>4061</v>
      </c>
      <c r="M230" s="2" t="s">
        <v>4062</v>
      </c>
      <c r="N230" s="2" t="s">
        <v>4063</v>
      </c>
      <c r="O230" s="2" t="s">
        <v>4064</v>
      </c>
      <c r="P230" s="2" t="s">
        <v>4065</v>
      </c>
      <c r="Q230" s="2" t="s">
        <v>4066</v>
      </c>
      <c r="R230" s="2" t="s">
        <v>4067</v>
      </c>
      <c r="S230" s="2" t="s">
        <v>4068</v>
      </c>
      <c r="T230" s="2" t="s">
        <v>86</v>
      </c>
      <c r="U230" s="2" t="s">
        <v>86</v>
      </c>
      <c r="V230" s="2" t="s">
        <v>86</v>
      </c>
      <c r="W230" s="2" t="s">
        <v>80</v>
      </c>
      <c r="X230" s="4">
        <v>60</v>
      </c>
      <c r="Y230" s="4">
        <v>0</v>
      </c>
      <c r="Z230" s="4">
        <v>0</v>
      </c>
      <c r="AA230" s="4">
        <v>1</v>
      </c>
      <c r="AB230" s="4">
        <v>1</v>
      </c>
      <c r="AC230" s="2" t="s">
        <v>211</v>
      </c>
      <c r="AD230" s="2" t="s">
        <v>212</v>
      </c>
      <c r="AE230" s="2" t="s">
        <v>213</v>
      </c>
      <c r="AF230" s="2" t="s">
        <v>86</v>
      </c>
      <c r="AG230" s="2" t="s">
        <v>531</v>
      </c>
      <c r="AH230" s="2" t="s">
        <v>86</v>
      </c>
      <c r="AI230" s="2" t="s">
        <v>532</v>
      </c>
      <c r="AJ230" s="2" t="s">
        <v>533</v>
      </c>
      <c r="AK230" s="2" t="s">
        <v>89</v>
      </c>
      <c r="AL230" s="4">
        <v>2023</v>
      </c>
      <c r="AM230" s="4">
        <v>15</v>
      </c>
      <c r="AN230" s="4">
        <v>8</v>
      </c>
      <c r="AO230" s="2" t="s">
        <v>86</v>
      </c>
      <c r="AP230" s="2" t="s">
        <v>86</v>
      </c>
      <c r="AQ230" s="2" t="s">
        <v>86</v>
      </c>
      <c r="AR230" s="2" t="s">
        <v>86</v>
      </c>
      <c r="AS230" s="2" t="s">
        <v>86</v>
      </c>
      <c r="AT230" s="2" t="s">
        <v>86</v>
      </c>
      <c r="AU230" s="4">
        <v>6811</v>
      </c>
      <c r="AV230" s="2" t="s">
        <v>86</v>
      </c>
      <c r="AW230" s="2" t="s">
        <v>86</v>
      </c>
      <c r="AX230" s="4">
        <v>21</v>
      </c>
      <c r="AY230" s="2" t="s">
        <v>535</v>
      </c>
      <c r="AZ230" s="2" t="s">
        <v>536</v>
      </c>
      <c r="BA230" s="2" t="s">
        <v>537</v>
      </c>
      <c r="BB230" s="2" t="s">
        <v>4069</v>
      </c>
      <c r="BC230" s="2" t="s">
        <v>86</v>
      </c>
      <c r="BD230" s="2" t="s">
        <v>321</v>
      </c>
      <c r="BE230" s="2" t="s">
        <v>86</v>
      </c>
      <c r="BF230" s="2" t="s">
        <v>86</v>
      </c>
      <c r="BG230" s="2" t="s">
        <v>95</v>
      </c>
      <c r="BH230" s="2" t="s">
        <v>4070</v>
      </c>
      <c r="BI230" s="2" t="str">
        <f>HYPERLINK("https%3A%2F%2Fwww.webofscience.com%2Fwos%2Fwoscc%2Ffull-record%2FWOS:000977953900001","View Full Record in Web of Science")</f>
        <v>View Full Record in Web of Science</v>
      </c>
    </row>
    <row r="231" spans="1:61" customFormat="1" ht="12.75" x14ac:dyDescent="0.2">
      <c r="A231" s="1">
        <v>228</v>
      </c>
      <c r="B231" s="1" t="s">
        <v>1068</v>
      </c>
      <c r="C231" s="1" t="s">
        <v>4071</v>
      </c>
      <c r="D231" s="2" t="s">
        <v>4072</v>
      </c>
      <c r="E231" s="2" t="s">
        <v>4073</v>
      </c>
      <c r="F231" s="3" t="str">
        <f>HYPERLINK("http://dx.doi.org/10.1016/j.molliq.2021.118182","http://dx.doi.org/10.1016/j.molliq.2021.118182")</f>
        <v>http://dx.doi.org/10.1016/j.molliq.2021.118182</v>
      </c>
      <c r="G231" s="2" t="s">
        <v>200</v>
      </c>
      <c r="H231" s="2" t="s">
        <v>4074</v>
      </c>
      <c r="I231" s="2" t="s">
        <v>4075</v>
      </c>
      <c r="J231" s="2" t="s">
        <v>4076</v>
      </c>
      <c r="K231" s="2" t="s">
        <v>68</v>
      </c>
      <c r="L231" s="2" t="s">
        <v>4077</v>
      </c>
      <c r="M231" s="2" t="s">
        <v>4078</v>
      </c>
      <c r="N231" s="2" t="s">
        <v>4079</v>
      </c>
      <c r="O231" s="2" t="s">
        <v>4080</v>
      </c>
      <c r="P231" s="2" t="s">
        <v>4081</v>
      </c>
      <c r="Q231" s="2" t="s">
        <v>4082</v>
      </c>
      <c r="R231" s="2" t="s">
        <v>86</v>
      </c>
      <c r="S231" s="2" t="s">
        <v>86</v>
      </c>
      <c r="T231" s="2" t="s">
        <v>4083</v>
      </c>
      <c r="U231" s="2" t="s">
        <v>4083</v>
      </c>
      <c r="V231" s="2" t="s">
        <v>4084</v>
      </c>
      <c r="W231" s="2" t="s">
        <v>80</v>
      </c>
      <c r="X231" s="4">
        <v>27</v>
      </c>
      <c r="Y231" s="4">
        <v>16</v>
      </c>
      <c r="Z231" s="4">
        <v>16</v>
      </c>
      <c r="AA231" s="4">
        <v>9</v>
      </c>
      <c r="AB231" s="4">
        <v>48</v>
      </c>
      <c r="AC231" s="2" t="s">
        <v>585</v>
      </c>
      <c r="AD231" s="2" t="s">
        <v>586</v>
      </c>
      <c r="AE231" s="2" t="s">
        <v>587</v>
      </c>
      <c r="AF231" s="2" t="s">
        <v>4085</v>
      </c>
      <c r="AG231" s="2" t="s">
        <v>4086</v>
      </c>
      <c r="AH231" s="2" t="s">
        <v>86</v>
      </c>
      <c r="AI231" s="2" t="s">
        <v>4087</v>
      </c>
      <c r="AJ231" s="2" t="s">
        <v>4088</v>
      </c>
      <c r="AK231" s="2" t="s">
        <v>1950</v>
      </c>
      <c r="AL231" s="4">
        <v>2022</v>
      </c>
      <c r="AM231" s="4">
        <v>350</v>
      </c>
      <c r="AN231" s="2" t="s">
        <v>86</v>
      </c>
      <c r="AO231" s="2" t="s">
        <v>86</v>
      </c>
      <c r="AP231" s="2" t="s">
        <v>86</v>
      </c>
      <c r="AQ231" s="2" t="s">
        <v>86</v>
      </c>
      <c r="AR231" s="2" t="s">
        <v>86</v>
      </c>
      <c r="AS231" s="2" t="s">
        <v>86</v>
      </c>
      <c r="AT231" s="2" t="s">
        <v>86</v>
      </c>
      <c r="AU231" s="4">
        <v>118182</v>
      </c>
      <c r="AV231" s="2" t="s">
        <v>86</v>
      </c>
      <c r="AW231" s="2" t="s">
        <v>2477</v>
      </c>
      <c r="AX231" s="4">
        <v>5</v>
      </c>
      <c r="AY231" s="2" t="s">
        <v>4089</v>
      </c>
      <c r="AZ231" s="2" t="s">
        <v>92</v>
      </c>
      <c r="BA231" s="2" t="s">
        <v>4090</v>
      </c>
      <c r="BB231" s="2" t="s">
        <v>4091</v>
      </c>
      <c r="BC231" s="2" t="s">
        <v>86</v>
      </c>
      <c r="BD231" s="2" t="s">
        <v>86</v>
      </c>
      <c r="BE231" s="2" t="s">
        <v>86</v>
      </c>
      <c r="BF231" s="2" t="s">
        <v>86</v>
      </c>
      <c r="BG231" s="2" t="s">
        <v>95</v>
      </c>
      <c r="BH231" s="2" t="s">
        <v>4092</v>
      </c>
      <c r="BI231" s="2" t="str">
        <f>HYPERLINK("https%3A%2F%2Fwww.webofscience.com%2Fwos%2Fwoscc%2Ffull-record%2FWOS:000788154500009","View Full Record in Web of Science")</f>
        <v>View Full Record in Web of Science</v>
      </c>
    </row>
    <row r="232" spans="1:61" customFormat="1" ht="12.75" x14ac:dyDescent="0.2">
      <c r="A232" s="1">
        <v>229</v>
      </c>
      <c r="B232" s="1" t="s">
        <v>1068</v>
      </c>
      <c r="C232" s="1" t="s">
        <v>4093</v>
      </c>
      <c r="D232" s="2" t="s">
        <v>4094</v>
      </c>
      <c r="E232" s="2" t="s">
        <v>4095</v>
      </c>
      <c r="F232" s="3" t="str">
        <f>HYPERLINK("http://dx.doi.org/10.1080/10934529.2023.2198475","http://dx.doi.org/10.1080/10934529.2023.2198475")</f>
        <v>http://dx.doi.org/10.1080/10934529.2023.2198475</v>
      </c>
      <c r="G232" s="2" t="s">
        <v>642</v>
      </c>
      <c r="H232" s="2" t="s">
        <v>4096</v>
      </c>
      <c r="I232" s="2" t="s">
        <v>4097</v>
      </c>
      <c r="J232" s="2" t="s">
        <v>555</v>
      </c>
      <c r="K232" s="2" t="s">
        <v>68</v>
      </c>
      <c r="L232" s="2" t="s">
        <v>4098</v>
      </c>
      <c r="M232" s="2" t="s">
        <v>4099</v>
      </c>
      <c r="N232" s="2" t="s">
        <v>4100</v>
      </c>
      <c r="O232" s="2" t="s">
        <v>4101</v>
      </c>
      <c r="P232" s="2" t="s">
        <v>4102</v>
      </c>
      <c r="Q232" s="2" t="s">
        <v>4103</v>
      </c>
      <c r="R232" s="2" t="s">
        <v>86</v>
      </c>
      <c r="S232" s="2" t="s">
        <v>4104</v>
      </c>
      <c r="T232" s="2" t="s">
        <v>4105</v>
      </c>
      <c r="U232" s="2" t="s">
        <v>2572</v>
      </c>
      <c r="V232" s="2" t="s">
        <v>4106</v>
      </c>
      <c r="W232" s="2" t="s">
        <v>80</v>
      </c>
      <c r="X232" s="4">
        <v>56</v>
      </c>
      <c r="Y232" s="4">
        <v>0</v>
      </c>
      <c r="Z232" s="4">
        <v>0</v>
      </c>
      <c r="AA232" s="4">
        <v>16</v>
      </c>
      <c r="AB232" s="4">
        <v>16</v>
      </c>
      <c r="AC232" s="2" t="s">
        <v>260</v>
      </c>
      <c r="AD232" s="2" t="s">
        <v>261</v>
      </c>
      <c r="AE232" s="2" t="s">
        <v>262</v>
      </c>
      <c r="AF232" s="2" t="s">
        <v>562</v>
      </c>
      <c r="AG232" s="2" t="s">
        <v>563</v>
      </c>
      <c r="AH232" s="2" t="s">
        <v>86</v>
      </c>
      <c r="AI232" s="2" t="s">
        <v>564</v>
      </c>
      <c r="AJ232" s="2" t="s">
        <v>565</v>
      </c>
      <c r="AK232" s="2" t="s">
        <v>4107</v>
      </c>
      <c r="AL232" s="4">
        <v>2023</v>
      </c>
      <c r="AM232" s="2" t="s">
        <v>86</v>
      </c>
      <c r="AN232" s="2" t="s">
        <v>86</v>
      </c>
      <c r="AO232" s="2" t="s">
        <v>86</v>
      </c>
      <c r="AP232" s="2" t="s">
        <v>86</v>
      </c>
      <c r="AQ232" s="2" t="s">
        <v>86</v>
      </c>
      <c r="AR232" s="2" t="s">
        <v>86</v>
      </c>
      <c r="AS232" s="2" t="s">
        <v>86</v>
      </c>
      <c r="AT232" s="2" t="s">
        <v>86</v>
      </c>
      <c r="AU232" s="2" t="s">
        <v>86</v>
      </c>
      <c r="AV232" s="2" t="s">
        <v>86</v>
      </c>
      <c r="AW232" s="2" t="s">
        <v>1046</v>
      </c>
      <c r="AX232" s="4">
        <v>8</v>
      </c>
      <c r="AY232" s="2" t="s">
        <v>567</v>
      </c>
      <c r="AZ232" s="2" t="s">
        <v>92</v>
      </c>
      <c r="BA232" s="2" t="s">
        <v>568</v>
      </c>
      <c r="BB232" s="2" t="s">
        <v>4108</v>
      </c>
      <c r="BC232" s="4">
        <v>37073438</v>
      </c>
      <c r="BD232" s="2" t="s">
        <v>86</v>
      </c>
      <c r="BE232" s="2" t="s">
        <v>86</v>
      </c>
      <c r="BF232" s="2" t="s">
        <v>86</v>
      </c>
      <c r="BG232" s="2" t="s">
        <v>95</v>
      </c>
      <c r="BH232" s="2" t="s">
        <v>4109</v>
      </c>
      <c r="BI232" s="2" t="str">
        <f>HYPERLINK("https%3A%2F%2Fwww.webofscience.com%2Fwos%2Fwoscc%2Ffull-record%2FWOS:000972558800001","View Full Record in Web of Science")</f>
        <v>View Full Record in Web of Science</v>
      </c>
    </row>
    <row r="233" spans="1:61" customFormat="1" ht="12.75" x14ac:dyDescent="0.2">
      <c r="A233" s="1">
        <v>230</v>
      </c>
      <c r="B233" s="1" t="s">
        <v>1068</v>
      </c>
      <c r="C233" s="1" t="s">
        <v>4110</v>
      </c>
      <c r="D233" s="2" t="s">
        <v>4111</v>
      </c>
      <c r="E233" s="2" t="s">
        <v>4112</v>
      </c>
      <c r="F233" s="3" t="str">
        <f>HYPERLINK("http://dx.doi.org/10.1016/j.jaci.2020.04.024","http://dx.doi.org/10.1016/j.jaci.2020.04.024")</f>
        <v>http://dx.doi.org/10.1016/j.jaci.2020.04.024</v>
      </c>
      <c r="G233" s="2" t="s">
        <v>200</v>
      </c>
      <c r="H233" s="2" t="s">
        <v>4113</v>
      </c>
      <c r="I233" s="2" t="s">
        <v>4114</v>
      </c>
      <c r="J233" s="2" t="s">
        <v>4115</v>
      </c>
      <c r="K233" s="2" t="s">
        <v>68</v>
      </c>
      <c r="L233" s="2" t="s">
        <v>4116</v>
      </c>
      <c r="M233" s="2" t="s">
        <v>4117</v>
      </c>
      <c r="N233" s="2" t="s">
        <v>4118</v>
      </c>
      <c r="O233" s="2" t="s">
        <v>4119</v>
      </c>
      <c r="P233" s="2" t="s">
        <v>4120</v>
      </c>
      <c r="Q233" s="2" t="s">
        <v>4121</v>
      </c>
      <c r="R233" s="2" t="s">
        <v>4122</v>
      </c>
      <c r="S233" s="2" t="s">
        <v>4123</v>
      </c>
      <c r="T233" s="2" t="s">
        <v>86</v>
      </c>
      <c r="U233" s="2" t="s">
        <v>86</v>
      </c>
      <c r="V233" s="2" t="s">
        <v>86</v>
      </c>
      <c r="W233" s="2" t="s">
        <v>80</v>
      </c>
      <c r="X233" s="4">
        <v>136</v>
      </c>
      <c r="Y233" s="4">
        <v>105</v>
      </c>
      <c r="Z233" s="4">
        <v>107</v>
      </c>
      <c r="AA233" s="4">
        <v>10</v>
      </c>
      <c r="AB233" s="4">
        <v>52</v>
      </c>
      <c r="AC233" s="2" t="s">
        <v>4124</v>
      </c>
      <c r="AD233" s="2" t="s">
        <v>1355</v>
      </c>
      <c r="AE233" s="2" t="s">
        <v>4125</v>
      </c>
      <c r="AF233" s="2" t="s">
        <v>4126</v>
      </c>
      <c r="AG233" s="2" t="s">
        <v>4127</v>
      </c>
      <c r="AH233" s="2" t="s">
        <v>86</v>
      </c>
      <c r="AI233" s="2" t="s">
        <v>4128</v>
      </c>
      <c r="AJ233" s="2" t="s">
        <v>4129</v>
      </c>
      <c r="AK233" s="2" t="s">
        <v>342</v>
      </c>
      <c r="AL233" s="4">
        <v>2020</v>
      </c>
      <c r="AM233" s="4">
        <v>145</v>
      </c>
      <c r="AN233" s="4">
        <v>6</v>
      </c>
      <c r="AO233" s="2" t="s">
        <v>86</v>
      </c>
      <c r="AP233" s="2" t="s">
        <v>86</v>
      </c>
      <c r="AQ233" s="2" t="s">
        <v>86</v>
      </c>
      <c r="AR233" s="2" t="s">
        <v>86</v>
      </c>
      <c r="AS233" s="4">
        <v>1517</v>
      </c>
      <c r="AT233" s="4">
        <v>1528</v>
      </c>
      <c r="AU233" s="2" t="s">
        <v>86</v>
      </c>
      <c r="AV233" s="2" t="s">
        <v>86</v>
      </c>
      <c r="AW233" s="2" t="s">
        <v>86</v>
      </c>
      <c r="AX233" s="4">
        <v>12</v>
      </c>
      <c r="AY233" s="2" t="s">
        <v>4130</v>
      </c>
      <c r="AZ233" s="2" t="s">
        <v>92</v>
      </c>
      <c r="BA233" s="2" t="s">
        <v>4130</v>
      </c>
      <c r="BB233" s="2" t="s">
        <v>4131</v>
      </c>
      <c r="BC233" s="4">
        <v>32507229</v>
      </c>
      <c r="BD233" s="2" t="s">
        <v>1491</v>
      </c>
      <c r="BE233" s="2" t="s">
        <v>86</v>
      </c>
      <c r="BF233" s="2" t="s">
        <v>86</v>
      </c>
      <c r="BG233" s="2" t="s">
        <v>95</v>
      </c>
      <c r="BH233" s="2" t="s">
        <v>4132</v>
      </c>
      <c r="BI233" s="2" t="str">
        <f>HYPERLINK("https%3A%2F%2Fwww.webofscience.com%2Fwos%2Fwoscc%2Ffull-record%2FWOS:000539157800004","View Full Record in Web of Science")</f>
        <v>View Full Record in Web of Science</v>
      </c>
    </row>
    <row r="234" spans="1:61" customFormat="1" ht="12.75" x14ac:dyDescent="0.2">
      <c r="A234" s="1">
        <v>231</v>
      </c>
      <c r="B234" s="1" t="s">
        <v>1068</v>
      </c>
      <c r="C234" s="1" t="s">
        <v>4133</v>
      </c>
      <c r="D234" s="2" t="s">
        <v>4134</v>
      </c>
      <c r="E234" s="2" t="s">
        <v>4135</v>
      </c>
      <c r="F234" s="3" t="str">
        <f>HYPERLINK("http://dx.doi.org/10.1016/j.chemosphere.2021.132223","http://dx.doi.org/10.1016/j.chemosphere.2021.132223")</f>
        <v>http://dx.doi.org/10.1016/j.chemosphere.2021.132223</v>
      </c>
      <c r="G234" s="2" t="s">
        <v>200</v>
      </c>
      <c r="H234" s="2" t="s">
        <v>4136</v>
      </c>
      <c r="I234" s="2" t="s">
        <v>4137</v>
      </c>
      <c r="J234" s="2" t="s">
        <v>227</v>
      </c>
      <c r="K234" s="2" t="s">
        <v>68</v>
      </c>
      <c r="L234" s="2" t="s">
        <v>4138</v>
      </c>
      <c r="M234" s="2" t="s">
        <v>4139</v>
      </c>
      <c r="N234" s="2" t="s">
        <v>4140</v>
      </c>
      <c r="O234" s="2" t="s">
        <v>4141</v>
      </c>
      <c r="P234" s="2" t="s">
        <v>4142</v>
      </c>
      <c r="Q234" s="2" t="s">
        <v>4143</v>
      </c>
      <c r="R234" s="2" t="s">
        <v>4144</v>
      </c>
      <c r="S234" s="2" t="s">
        <v>4145</v>
      </c>
      <c r="T234" s="2" t="s">
        <v>4146</v>
      </c>
      <c r="U234" s="2" t="s">
        <v>4147</v>
      </c>
      <c r="V234" s="2" t="s">
        <v>4148</v>
      </c>
      <c r="W234" s="2" t="s">
        <v>80</v>
      </c>
      <c r="X234" s="4">
        <v>227</v>
      </c>
      <c r="Y234" s="4">
        <v>15</v>
      </c>
      <c r="Z234" s="4">
        <v>15</v>
      </c>
      <c r="AA234" s="4">
        <v>12</v>
      </c>
      <c r="AB234" s="4">
        <v>43</v>
      </c>
      <c r="AC234" s="2" t="s">
        <v>237</v>
      </c>
      <c r="AD234" s="2" t="s">
        <v>115</v>
      </c>
      <c r="AE234" s="2" t="s">
        <v>238</v>
      </c>
      <c r="AF234" s="2" t="s">
        <v>239</v>
      </c>
      <c r="AG234" s="2" t="s">
        <v>240</v>
      </c>
      <c r="AH234" s="2" t="s">
        <v>86</v>
      </c>
      <c r="AI234" s="2" t="s">
        <v>227</v>
      </c>
      <c r="AJ234" s="2" t="s">
        <v>241</v>
      </c>
      <c r="AK234" s="2" t="s">
        <v>534</v>
      </c>
      <c r="AL234" s="4">
        <v>2022</v>
      </c>
      <c r="AM234" s="4">
        <v>287</v>
      </c>
      <c r="AN234" s="2" t="s">
        <v>86</v>
      </c>
      <c r="AO234" s="4">
        <v>3</v>
      </c>
      <c r="AP234" s="2" t="s">
        <v>86</v>
      </c>
      <c r="AQ234" s="2" t="s">
        <v>86</v>
      </c>
      <c r="AR234" s="2" t="s">
        <v>86</v>
      </c>
      <c r="AS234" s="2" t="s">
        <v>86</v>
      </c>
      <c r="AT234" s="2" t="s">
        <v>86</v>
      </c>
      <c r="AU234" s="4">
        <v>132223</v>
      </c>
      <c r="AV234" s="2" t="s">
        <v>86</v>
      </c>
      <c r="AW234" s="2" t="s">
        <v>2258</v>
      </c>
      <c r="AX234" s="4">
        <v>13</v>
      </c>
      <c r="AY234" s="2" t="s">
        <v>91</v>
      </c>
      <c r="AZ234" s="2" t="s">
        <v>92</v>
      </c>
      <c r="BA234" s="2" t="s">
        <v>93</v>
      </c>
      <c r="BB234" s="2" t="s">
        <v>4149</v>
      </c>
      <c r="BC234" s="4">
        <v>34537459</v>
      </c>
      <c r="BD234" s="2" t="s">
        <v>86</v>
      </c>
      <c r="BE234" s="2" t="s">
        <v>86</v>
      </c>
      <c r="BF234" s="2" t="s">
        <v>86</v>
      </c>
      <c r="BG234" s="2" t="s">
        <v>95</v>
      </c>
      <c r="BH234" s="2" t="s">
        <v>4150</v>
      </c>
      <c r="BI234" s="2" t="str">
        <f>HYPERLINK("https%3A%2F%2Fwww.webofscience.com%2Fwos%2Fwoscc%2Ffull-record%2FWOS:000704950400003","View Full Record in Web of Science")</f>
        <v>View Full Record in Web of Science</v>
      </c>
    </row>
    <row r="235" spans="1:61" customFormat="1" ht="12.75" x14ac:dyDescent="0.2">
      <c r="A235" s="1">
        <v>232</v>
      </c>
      <c r="B235" s="1" t="s">
        <v>1068</v>
      </c>
      <c r="C235" s="1" t="s">
        <v>4151</v>
      </c>
      <c r="D235" s="2" t="s">
        <v>4152</v>
      </c>
      <c r="E235" s="2" t="s">
        <v>4153</v>
      </c>
      <c r="F235" s="3" t="str">
        <f>HYPERLINK("http://dx.doi.org/10.1021/acsomega.2c07927","http://dx.doi.org/10.1021/acsomega.2c07927")</f>
        <v>http://dx.doi.org/10.1021/acsomega.2c07927</v>
      </c>
      <c r="G235" s="2" t="s">
        <v>200</v>
      </c>
      <c r="H235" s="2" t="s">
        <v>553</v>
      </c>
      <c r="I235" s="2" t="s">
        <v>554</v>
      </c>
      <c r="J235" s="2" t="s">
        <v>4154</v>
      </c>
      <c r="K235" s="2" t="s">
        <v>68</v>
      </c>
      <c r="L235" s="2" t="s">
        <v>86</v>
      </c>
      <c r="M235" s="2" t="s">
        <v>4155</v>
      </c>
      <c r="N235" s="2" t="s">
        <v>4156</v>
      </c>
      <c r="O235" s="2" t="s">
        <v>4157</v>
      </c>
      <c r="P235" s="2" t="s">
        <v>4158</v>
      </c>
      <c r="Q235" s="2" t="s">
        <v>4159</v>
      </c>
      <c r="R235" s="2" t="s">
        <v>86</v>
      </c>
      <c r="S235" s="2" t="s">
        <v>4160</v>
      </c>
      <c r="T235" s="2" t="s">
        <v>4161</v>
      </c>
      <c r="U235" s="2" t="s">
        <v>4162</v>
      </c>
      <c r="V235" s="2" t="s">
        <v>4163</v>
      </c>
      <c r="W235" s="2" t="s">
        <v>80</v>
      </c>
      <c r="X235" s="4">
        <v>67</v>
      </c>
      <c r="Y235" s="4">
        <v>1</v>
      </c>
      <c r="Z235" s="4">
        <v>1</v>
      </c>
      <c r="AA235" s="4">
        <v>9</v>
      </c>
      <c r="AB235" s="4">
        <v>9</v>
      </c>
      <c r="AC235" s="2" t="s">
        <v>461</v>
      </c>
      <c r="AD235" s="2" t="s">
        <v>462</v>
      </c>
      <c r="AE235" s="2" t="s">
        <v>463</v>
      </c>
      <c r="AF235" s="2" t="s">
        <v>4164</v>
      </c>
      <c r="AG235" s="2" t="s">
        <v>86</v>
      </c>
      <c r="AH235" s="2" t="s">
        <v>86</v>
      </c>
      <c r="AI235" s="2" t="s">
        <v>4154</v>
      </c>
      <c r="AJ235" s="2" t="s">
        <v>4165</v>
      </c>
      <c r="AK235" s="2" t="s">
        <v>4166</v>
      </c>
      <c r="AL235" s="4">
        <v>2023</v>
      </c>
      <c r="AM235" s="4">
        <v>8</v>
      </c>
      <c r="AN235" s="4">
        <v>14</v>
      </c>
      <c r="AO235" s="2" t="s">
        <v>86</v>
      </c>
      <c r="AP235" s="2" t="s">
        <v>86</v>
      </c>
      <c r="AQ235" s="2" t="s">
        <v>86</v>
      </c>
      <c r="AR235" s="2" t="s">
        <v>86</v>
      </c>
      <c r="AS235" s="4">
        <v>12739</v>
      </c>
      <c r="AT235" s="4">
        <v>12751</v>
      </c>
      <c r="AU235" s="2" t="s">
        <v>86</v>
      </c>
      <c r="AV235" s="2" t="s">
        <v>86</v>
      </c>
      <c r="AW235" s="2" t="s">
        <v>1221</v>
      </c>
      <c r="AX235" s="4">
        <v>13</v>
      </c>
      <c r="AY235" s="2" t="s">
        <v>4167</v>
      </c>
      <c r="AZ235" s="2" t="s">
        <v>92</v>
      </c>
      <c r="BA235" s="2" t="s">
        <v>901</v>
      </c>
      <c r="BB235" s="2" t="s">
        <v>4168</v>
      </c>
      <c r="BC235" s="4">
        <v>37065040</v>
      </c>
      <c r="BD235" s="2" t="s">
        <v>723</v>
      </c>
      <c r="BE235" s="2" t="s">
        <v>86</v>
      </c>
      <c r="BF235" s="2" t="s">
        <v>86</v>
      </c>
      <c r="BG235" s="2" t="s">
        <v>95</v>
      </c>
      <c r="BH235" s="2" t="s">
        <v>4169</v>
      </c>
      <c r="BI235" s="2" t="str">
        <f>HYPERLINK("https%3A%2F%2Fwww.webofscience.com%2Fwos%2Fwoscc%2Ffull-record%2FWOS:000962892900001","View Full Record in Web of Science")</f>
        <v>View Full Record in Web of Science</v>
      </c>
    </row>
    <row r="236" spans="1:61" customFormat="1" ht="12.75" x14ac:dyDescent="0.2">
      <c r="A236" s="1">
        <v>233</v>
      </c>
      <c r="B236" s="1" t="s">
        <v>1068</v>
      </c>
      <c r="C236" s="1" t="s">
        <v>4170</v>
      </c>
      <c r="D236" s="2" t="s">
        <v>4171</v>
      </c>
      <c r="E236" s="2" t="s">
        <v>4172</v>
      </c>
      <c r="F236" s="3" t="str">
        <f>HYPERLINK("http://dx.doi.org/10.14429/dsj.61.411","http://dx.doi.org/10.14429/dsj.61.411")</f>
        <v>http://dx.doi.org/10.14429/dsj.61.411</v>
      </c>
      <c r="G236" s="2" t="s">
        <v>200</v>
      </c>
      <c r="H236" s="2" t="s">
        <v>4173</v>
      </c>
      <c r="I236" s="2" t="s">
        <v>4174</v>
      </c>
      <c r="J236" s="2" t="s">
        <v>4175</v>
      </c>
      <c r="K236" s="2" t="s">
        <v>68</v>
      </c>
      <c r="L236" s="2" t="s">
        <v>4176</v>
      </c>
      <c r="M236" s="2" t="s">
        <v>4177</v>
      </c>
      <c r="N236" s="2" t="s">
        <v>4178</v>
      </c>
      <c r="O236" s="2" t="s">
        <v>4179</v>
      </c>
      <c r="P236" s="2" t="s">
        <v>4180</v>
      </c>
      <c r="Q236" s="2" t="s">
        <v>4181</v>
      </c>
      <c r="R236" s="2" t="s">
        <v>86</v>
      </c>
      <c r="S236" s="2" t="s">
        <v>86</v>
      </c>
      <c r="T236" s="2" t="s">
        <v>86</v>
      </c>
      <c r="U236" s="2" t="s">
        <v>86</v>
      </c>
      <c r="V236" s="2" t="s">
        <v>86</v>
      </c>
      <c r="W236" s="2" t="s">
        <v>80</v>
      </c>
      <c r="X236" s="4">
        <v>31</v>
      </c>
      <c r="Y236" s="4">
        <v>29</v>
      </c>
      <c r="Z236" s="4">
        <v>31</v>
      </c>
      <c r="AA236" s="4">
        <v>1</v>
      </c>
      <c r="AB236" s="4">
        <v>8</v>
      </c>
      <c r="AC236" s="2" t="s">
        <v>4182</v>
      </c>
      <c r="AD236" s="2" t="s">
        <v>4183</v>
      </c>
      <c r="AE236" s="2" t="s">
        <v>4184</v>
      </c>
      <c r="AF236" s="2" t="s">
        <v>4185</v>
      </c>
      <c r="AG236" s="2" t="s">
        <v>86</v>
      </c>
      <c r="AH236" s="2" t="s">
        <v>86</v>
      </c>
      <c r="AI236" s="2" t="s">
        <v>4186</v>
      </c>
      <c r="AJ236" s="2" t="s">
        <v>4187</v>
      </c>
      <c r="AK236" s="2" t="s">
        <v>534</v>
      </c>
      <c r="AL236" s="4">
        <v>2011</v>
      </c>
      <c r="AM236" s="4">
        <v>61</v>
      </c>
      <c r="AN236" s="4">
        <v>1</v>
      </c>
      <c r="AO236" s="2" t="s">
        <v>86</v>
      </c>
      <c r="AP236" s="2" t="s">
        <v>86</v>
      </c>
      <c r="AQ236" s="2" t="s">
        <v>86</v>
      </c>
      <c r="AR236" s="2" t="s">
        <v>86</v>
      </c>
      <c r="AS236" s="4">
        <v>81</v>
      </c>
      <c r="AT236" s="4">
        <v>87</v>
      </c>
      <c r="AU236" s="2" t="s">
        <v>86</v>
      </c>
      <c r="AV236" s="2" t="s">
        <v>86</v>
      </c>
      <c r="AW236" s="2" t="s">
        <v>86</v>
      </c>
      <c r="AX236" s="4">
        <v>7</v>
      </c>
      <c r="AY236" s="2" t="s">
        <v>3080</v>
      </c>
      <c r="AZ236" s="2" t="s">
        <v>92</v>
      </c>
      <c r="BA236" s="2" t="s">
        <v>3081</v>
      </c>
      <c r="BB236" s="2" t="s">
        <v>4188</v>
      </c>
      <c r="BC236" s="2" t="s">
        <v>86</v>
      </c>
      <c r="BD236" s="2" t="s">
        <v>86</v>
      </c>
      <c r="BE236" s="2" t="s">
        <v>86</v>
      </c>
      <c r="BF236" s="2" t="s">
        <v>86</v>
      </c>
      <c r="BG236" s="2" t="s">
        <v>95</v>
      </c>
      <c r="BH236" s="2" t="s">
        <v>4189</v>
      </c>
      <c r="BI236" s="2" t="str">
        <f>HYPERLINK("https%3A%2F%2Fwww.webofscience.com%2Fwos%2Fwoscc%2Ffull-record%2FWOS:000287554400012","View Full Record in Web of Science")</f>
        <v>View Full Record in Web of Science</v>
      </c>
    </row>
    <row r="237" spans="1:61" customFormat="1" ht="12.75" x14ac:dyDescent="0.2">
      <c r="A237" s="1">
        <v>234</v>
      </c>
      <c r="B237" s="1" t="s">
        <v>1068</v>
      </c>
      <c r="C237" s="1" t="s">
        <v>4190</v>
      </c>
      <c r="D237" s="2" t="s">
        <v>4191</v>
      </c>
      <c r="E237" s="2" t="s">
        <v>86</v>
      </c>
      <c r="F237" s="2" t="s">
        <v>86</v>
      </c>
      <c r="G237" s="2" t="s">
        <v>176</v>
      </c>
      <c r="H237" s="2" t="s">
        <v>4192</v>
      </c>
      <c r="I237" s="2" t="s">
        <v>4193</v>
      </c>
      <c r="J237" s="2" t="s">
        <v>179</v>
      </c>
      <c r="K237" s="2" t="s">
        <v>68</v>
      </c>
      <c r="L237" s="2" t="s">
        <v>4194</v>
      </c>
      <c r="M237" s="2" t="s">
        <v>86</v>
      </c>
      <c r="N237" s="2" t="s">
        <v>4195</v>
      </c>
      <c r="O237" s="2" t="s">
        <v>4196</v>
      </c>
      <c r="P237" s="2" t="s">
        <v>4197</v>
      </c>
      <c r="Q237" s="2" t="s">
        <v>4198</v>
      </c>
      <c r="R237" s="2" t="s">
        <v>86</v>
      </c>
      <c r="S237" s="2" t="s">
        <v>86</v>
      </c>
      <c r="T237" s="2" t="s">
        <v>86</v>
      </c>
      <c r="U237" s="2" t="s">
        <v>86</v>
      </c>
      <c r="V237" s="2" t="s">
        <v>86</v>
      </c>
      <c r="W237" s="2" t="s">
        <v>188</v>
      </c>
      <c r="X237" s="4">
        <v>26</v>
      </c>
      <c r="Y237" s="4">
        <v>0</v>
      </c>
      <c r="Z237" s="4">
        <v>0</v>
      </c>
      <c r="AA237" s="4">
        <v>0</v>
      </c>
      <c r="AB237" s="4">
        <v>1</v>
      </c>
      <c r="AC237" s="2" t="s">
        <v>189</v>
      </c>
      <c r="AD237" s="2" t="s">
        <v>165</v>
      </c>
      <c r="AE237" s="2" t="s">
        <v>190</v>
      </c>
      <c r="AF237" s="2" t="s">
        <v>86</v>
      </c>
      <c r="AG237" s="2" t="s">
        <v>86</v>
      </c>
      <c r="AH237" s="2" t="s">
        <v>191</v>
      </c>
      <c r="AI237" s="2" t="s">
        <v>192</v>
      </c>
      <c r="AJ237" s="2" t="s">
        <v>86</v>
      </c>
      <c r="AK237" s="2" t="s">
        <v>86</v>
      </c>
      <c r="AL237" s="4">
        <v>2020</v>
      </c>
      <c r="AM237" s="4">
        <v>56</v>
      </c>
      <c r="AN237" s="2" t="s">
        <v>86</v>
      </c>
      <c r="AO237" s="2" t="s">
        <v>86</v>
      </c>
      <c r="AP237" s="2" t="s">
        <v>86</v>
      </c>
      <c r="AQ237" s="2" t="s">
        <v>86</v>
      </c>
      <c r="AR237" s="2" t="s">
        <v>86</v>
      </c>
      <c r="AS237" s="4">
        <v>74</v>
      </c>
      <c r="AT237" s="4">
        <v>81</v>
      </c>
      <c r="AU237" s="2" t="s">
        <v>86</v>
      </c>
      <c r="AV237" s="2" t="s">
        <v>86</v>
      </c>
      <c r="AW237" s="2" t="s">
        <v>86</v>
      </c>
      <c r="AX237" s="4">
        <v>8</v>
      </c>
      <c r="AY237" s="2" t="s">
        <v>193</v>
      </c>
      <c r="AZ237" s="2" t="s">
        <v>194</v>
      </c>
      <c r="BA237" s="2" t="s">
        <v>93</v>
      </c>
      <c r="BB237" s="2" t="s">
        <v>195</v>
      </c>
      <c r="BC237" s="2" t="s">
        <v>86</v>
      </c>
      <c r="BD237" s="2" t="s">
        <v>86</v>
      </c>
      <c r="BE237" s="2" t="s">
        <v>86</v>
      </c>
      <c r="BF237" s="2" t="s">
        <v>86</v>
      </c>
      <c r="BG237" s="2" t="s">
        <v>95</v>
      </c>
      <c r="BH237" s="2" t="s">
        <v>4199</v>
      </c>
      <c r="BI237" s="2" t="str">
        <f>HYPERLINK("https%3A%2F%2Fwww.webofscience.com%2Fwos%2Fwoscc%2Ffull-record%2FWOS:000637180200008","View Full Record in Web of Science")</f>
        <v>View Full Record in Web of Science</v>
      </c>
    </row>
    <row r="238" spans="1:61" customFormat="1" ht="12.75" x14ac:dyDescent="0.2">
      <c r="A238" s="1">
        <v>235</v>
      </c>
      <c r="B238" s="1" t="s">
        <v>1068</v>
      </c>
      <c r="C238" s="1" t="s">
        <v>4200</v>
      </c>
      <c r="D238" s="2" t="s">
        <v>4201</v>
      </c>
      <c r="E238" s="2" t="s">
        <v>4202</v>
      </c>
      <c r="F238" s="3" t="str">
        <f>HYPERLINK("http://dx.doi.org/10.1007/s12665-021-09429-5","http://dx.doi.org/10.1007/s12665-021-09429-5")</f>
        <v>http://dx.doi.org/10.1007/s12665-021-09429-5</v>
      </c>
      <c r="G238" s="2" t="s">
        <v>200</v>
      </c>
      <c r="H238" s="2" t="s">
        <v>4203</v>
      </c>
      <c r="I238" s="2" t="s">
        <v>4204</v>
      </c>
      <c r="J238" s="2" t="s">
        <v>4205</v>
      </c>
      <c r="K238" s="2" t="s">
        <v>68</v>
      </c>
      <c r="L238" s="2" t="s">
        <v>4206</v>
      </c>
      <c r="M238" s="2" t="s">
        <v>86</v>
      </c>
      <c r="N238" s="2" t="s">
        <v>4207</v>
      </c>
      <c r="O238" s="2" t="s">
        <v>4208</v>
      </c>
      <c r="P238" s="2" t="s">
        <v>4209</v>
      </c>
      <c r="Q238" s="2" t="s">
        <v>4210</v>
      </c>
      <c r="R238" s="2" t="s">
        <v>86</v>
      </c>
      <c r="S238" s="2" t="s">
        <v>4211</v>
      </c>
      <c r="T238" s="2" t="s">
        <v>86</v>
      </c>
      <c r="U238" s="2" t="s">
        <v>86</v>
      </c>
      <c r="V238" s="2" t="s">
        <v>86</v>
      </c>
      <c r="W238" s="2" t="s">
        <v>80</v>
      </c>
      <c r="X238" s="4">
        <v>35</v>
      </c>
      <c r="Y238" s="4">
        <v>3</v>
      </c>
      <c r="Z238" s="4">
        <v>3</v>
      </c>
      <c r="AA238" s="4">
        <v>2</v>
      </c>
      <c r="AB238" s="4">
        <v>17</v>
      </c>
      <c r="AC238" s="2" t="s">
        <v>139</v>
      </c>
      <c r="AD238" s="2" t="s">
        <v>1355</v>
      </c>
      <c r="AE238" s="2" t="s">
        <v>1356</v>
      </c>
      <c r="AF238" s="2" t="s">
        <v>4212</v>
      </c>
      <c r="AG238" s="2" t="s">
        <v>4213</v>
      </c>
      <c r="AH238" s="2" t="s">
        <v>86</v>
      </c>
      <c r="AI238" s="2" t="s">
        <v>4214</v>
      </c>
      <c r="AJ238" s="2" t="s">
        <v>4215</v>
      </c>
      <c r="AK238" s="2" t="s">
        <v>4216</v>
      </c>
      <c r="AL238" s="4">
        <v>2021</v>
      </c>
      <c r="AM238" s="4">
        <v>80</v>
      </c>
      <c r="AN238" s="4">
        <v>3</v>
      </c>
      <c r="AO238" s="2" t="s">
        <v>86</v>
      </c>
      <c r="AP238" s="2" t="s">
        <v>86</v>
      </c>
      <c r="AQ238" s="2" t="s">
        <v>86</v>
      </c>
      <c r="AR238" s="2" t="s">
        <v>86</v>
      </c>
      <c r="AS238" s="2" t="s">
        <v>86</v>
      </c>
      <c r="AT238" s="2" t="s">
        <v>86</v>
      </c>
      <c r="AU238" s="4">
        <v>118</v>
      </c>
      <c r="AV238" s="2" t="s">
        <v>86</v>
      </c>
      <c r="AW238" s="2" t="s">
        <v>86</v>
      </c>
      <c r="AX238" s="4">
        <v>7</v>
      </c>
      <c r="AY238" s="2" t="s">
        <v>4217</v>
      </c>
      <c r="AZ238" s="2" t="s">
        <v>92</v>
      </c>
      <c r="BA238" s="2" t="s">
        <v>4218</v>
      </c>
      <c r="BB238" s="2" t="s">
        <v>4219</v>
      </c>
      <c r="BC238" s="2" t="s">
        <v>86</v>
      </c>
      <c r="BD238" s="2" t="s">
        <v>86</v>
      </c>
      <c r="BE238" s="2" t="s">
        <v>86</v>
      </c>
      <c r="BF238" s="2" t="s">
        <v>86</v>
      </c>
      <c r="BG238" s="2" t="s">
        <v>95</v>
      </c>
      <c r="BH238" s="2" t="s">
        <v>4220</v>
      </c>
      <c r="BI238" s="2" t="str">
        <f>HYPERLINK("https%3A%2F%2Fwww.webofscience.com%2Fwos%2Fwoscc%2Ffull-record%2FWOS:000616717700005","View Full Record in Web of Science")</f>
        <v>View Full Record in Web of Science</v>
      </c>
    </row>
    <row r="239" spans="1:61" customFormat="1" ht="12.75" x14ac:dyDescent="0.2">
      <c r="A239" s="1">
        <v>236</v>
      </c>
      <c r="B239" s="1" t="s">
        <v>1068</v>
      </c>
      <c r="C239" s="1" t="s">
        <v>4221</v>
      </c>
      <c r="D239" s="2" t="s">
        <v>4222</v>
      </c>
      <c r="E239" s="2" t="s">
        <v>86</v>
      </c>
      <c r="F239" s="2" t="s">
        <v>86</v>
      </c>
      <c r="G239" s="2" t="s">
        <v>200</v>
      </c>
      <c r="H239" s="2" t="s">
        <v>4223</v>
      </c>
      <c r="I239" s="2" t="s">
        <v>4224</v>
      </c>
      <c r="J239" s="2" t="s">
        <v>4225</v>
      </c>
      <c r="K239" s="2" t="s">
        <v>68</v>
      </c>
      <c r="L239" s="2" t="s">
        <v>4226</v>
      </c>
      <c r="M239" s="2" t="s">
        <v>4227</v>
      </c>
      <c r="N239" s="2" t="s">
        <v>4228</v>
      </c>
      <c r="O239" s="2" t="s">
        <v>4229</v>
      </c>
      <c r="P239" s="2" t="s">
        <v>4230</v>
      </c>
      <c r="Q239" s="2" t="s">
        <v>4231</v>
      </c>
      <c r="R239" s="2" t="s">
        <v>4232</v>
      </c>
      <c r="S239" s="2" t="s">
        <v>4233</v>
      </c>
      <c r="T239" s="2" t="s">
        <v>4234</v>
      </c>
      <c r="U239" s="2" t="s">
        <v>4234</v>
      </c>
      <c r="V239" s="2" t="s">
        <v>4235</v>
      </c>
      <c r="W239" s="2" t="s">
        <v>80</v>
      </c>
      <c r="X239" s="4">
        <v>39</v>
      </c>
      <c r="Y239" s="4">
        <v>0</v>
      </c>
      <c r="Z239" s="4">
        <v>0</v>
      </c>
      <c r="AA239" s="4">
        <v>1</v>
      </c>
      <c r="AB239" s="4">
        <v>10</v>
      </c>
      <c r="AC239" s="2" t="s">
        <v>4236</v>
      </c>
      <c r="AD239" s="2" t="s">
        <v>4237</v>
      </c>
      <c r="AE239" s="2" t="s">
        <v>4238</v>
      </c>
      <c r="AF239" s="2" t="s">
        <v>4239</v>
      </c>
      <c r="AG239" s="2" t="s">
        <v>86</v>
      </c>
      <c r="AH239" s="2" t="s">
        <v>86</v>
      </c>
      <c r="AI239" s="2" t="s">
        <v>4240</v>
      </c>
      <c r="AJ239" s="2" t="s">
        <v>4241</v>
      </c>
      <c r="AK239" s="2" t="s">
        <v>4242</v>
      </c>
      <c r="AL239" s="4">
        <v>2019</v>
      </c>
      <c r="AM239" s="4">
        <v>24</v>
      </c>
      <c r="AN239" s="4">
        <v>1</v>
      </c>
      <c r="AO239" s="2" t="s">
        <v>86</v>
      </c>
      <c r="AP239" s="2" t="s">
        <v>86</v>
      </c>
      <c r="AQ239" s="2" t="s">
        <v>86</v>
      </c>
      <c r="AR239" s="2" t="s">
        <v>86</v>
      </c>
      <c r="AS239" s="4">
        <v>21</v>
      </c>
      <c r="AT239" s="2" t="s">
        <v>4243</v>
      </c>
      <c r="AU239" s="2" t="s">
        <v>86</v>
      </c>
      <c r="AV239" s="2" t="s">
        <v>86</v>
      </c>
      <c r="AW239" s="2" t="s">
        <v>86</v>
      </c>
      <c r="AX239" s="4">
        <v>13</v>
      </c>
      <c r="AY239" s="2" t="s">
        <v>4244</v>
      </c>
      <c r="AZ239" s="2" t="s">
        <v>92</v>
      </c>
      <c r="BA239" s="2" t="s">
        <v>4245</v>
      </c>
      <c r="BB239" s="2" t="s">
        <v>4246</v>
      </c>
      <c r="BC239" s="2" t="s">
        <v>86</v>
      </c>
      <c r="BD239" s="2" t="s">
        <v>86</v>
      </c>
      <c r="BE239" s="2" t="s">
        <v>86</v>
      </c>
      <c r="BF239" s="2" t="s">
        <v>86</v>
      </c>
      <c r="BG239" s="2" t="s">
        <v>95</v>
      </c>
      <c r="BH239" s="2" t="s">
        <v>4247</v>
      </c>
      <c r="BI239" s="2" t="str">
        <f>HYPERLINK("https%3A%2F%2Fwww.webofscience.com%2Fwos%2Fwoscc%2Ffull-record%2FWOS:000459844000003","View Full Record in Web of Science")</f>
        <v>View Full Record in Web of Science</v>
      </c>
    </row>
    <row r="240" spans="1:61" customFormat="1" ht="12.75" x14ac:dyDescent="0.2">
      <c r="A240" s="1">
        <v>237</v>
      </c>
      <c r="B240" s="1" t="s">
        <v>1068</v>
      </c>
      <c r="C240" s="1" t="s">
        <v>4248</v>
      </c>
      <c r="D240" s="2" t="s">
        <v>4249</v>
      </c>
      <c r="E240" s="2" t="s">
        <v>4250</v>
      </c>
      <c r="F240" s="3" t="str">
        <f>HYPERLINK("http://dx.doi.org/10.1016/S0964-8305(00)00048-2","http://dx.doi.org/10.1016/S0964-8305(00)00048-2")</f>
        <v>http://dx.doi.org/10.1016/S0964-8305(00)00048-2</v>
      </c>
      <c r="G240" s="2" t="s">
        <v>200</v>
      </c>
      <c r="H240" s="2" t="s">
        <v>4251</v>
      </c>
      <c r="I240" s="2" t="s">
        <v>4251</v>
      </c>
      <c r="J240" s="2" t="s">
        <v>4252</v>
      </c>
      <c r="K240" s="2" t="s">
        <v>68</v>
      </c>
      <c r="L240" s="2" t="s">
        <v>86</v>
      </c>
      <c r="M240" s="2" t="s">
        <v>4253</v>
      </c>
      <c r="N240" s="2" t="s">
        <v>4254</v>
      </c>
      <c r="O240" s="2" t="s">
        <v>4255</v>
      </c>
      <c r="P240" s="2" t="s">
        <v>4256</v>
      </c>
      <c r="Q240" s="2" t="s">
        <v>86</v>
      </c>
      <c r="R240" s="2" t="s">
        <v>86</v>
      </c>
      <c r="S240" s="2" t="s">
        <v>86</v>
      </c>
      <c r="T240" s="2" t="s">
        <v>86</v>
      </c>
      <c r="U240" s="2" t="s">
        <v>86</v>
      </c>
      <c r="V240" s="2" t="s">
        <v>86</v>
      </c>
      <c r="W240" s="2" t="s">
        <v>80</v>
      </c>
      <c r="X240" s="4">
        <v>23</v>
      </c>
      <c r="Y240" s="4">
        <v>120</v>
      </c>
      <c r="Z240" s="4">
        <v>130</v>
      </c>
      <c r="AA240" s="4">
        <v>2</v>
      </c>
      <c r="AB240" s="4">
        <v>71</v>
      </c>
      <c r="AC240" s="2" t="s">
        <v>114</v>
      </c>
      <c r="AD240" s="2" t="s">
        <v>115</v>
      </c>
      <c r="AE240" s="2" t="s">
        <v>116</v>
      </c>
      <c r="AF240" s="2" t="s">
        <v>4257</v>
      </c>
      <c r="AG240" s="2" t="s">
        <v>4258</v>
      </c>
      <c r="AH240" s="2" t="s">
        <v>86</v>
      </c>
      <c r="AI240" s="2" t="s">
        <v>4259</v>
      </c>
      <c r="AJ240" s="2" t="s">
        <v>4260</v>
      </c>
      <c r="AK240" s="2" t="s">
        <v>4261</v>
      </c>
      <c r="AL240" s="4">
        <v>2000</v>
      </c>
      <c r="AM240" s="4">
        <v>45</v>
      </c>
      <c r="AN240" s="2" t="s">
        <v>1532</v>
      </c>
      <c r="AO240" s="2" t="s">
        <v>86</v>
      </c>
      <c r="AP240" s="2" t="s">
        <v>86</v>
      </c>
      <c r="AQ240" s="2" t="s">
        <v>86</v>
      </c>
      <c r="AR240" s="2" t="s">
        <v>86</v>
      </c>
      <c r="AS240" s="4">
        <v>49</v>
      </c>
      <c r="AT240" s="4">
        <v>55</v>
      </c>
      <c r="AU240" s="2" t="s">
        <v>86</v>
      </c>
      <c r="AV240" s="2" t="s">
        <v>86</v>
      </c>
      <c r="AW240" s="2" t="s">
        <v>86</v>
      </c>
      <c r="AX240" s="4">
        <v>7</v>
      </c>
      <c r="AY240" s="2" t="s">
        <v>4262</v>
      </c>
      <c r="AZ240" s="2" t="s">
        <v>92</v>
      </c>
      <c r="BA240" s="2" t="s">
        <v>4263</v>
      </c>
      <c r="BB240" s="2" t="s">
        <v>4264</v>
      </c>
      <c r="BC240" s="2" t="s">
        <v>86</v>
      </c>
      <c r="BD240" s="2" t="s">
        <v>86</v>
      </c>
      <c r="BE240" s="2" t="s">
        <v>86</v>
      </c>
      <c r="BF240" s="2" t="s">
        <v>86</v>
      </c>
      <c r="BG240" s="2" t="s">
        <v>95</v>
      </c>
      <c r="BH240" s="2" t="s">
        <v>4265</v>
      </c>
      <c r="BI240" s="2" t="str">
        <f>HYPERLINK("https%3A%2F%2Fwww.webofscience.com%2Fwos%2Fwoscc%2Ffull-record%2FWOS:000088846000006","View Full Record in Web of Science")</f>
        <v>View Full Record in Web of Science</v>
      </c>
    </row>
    <row r="241" spans="1:61" customFormat="1" ht="12.75" x14ac:dyDescent="0.2">
      <c r="A241" s="1">
        <v>238</v>
      </c>
      <c r="B241" s="1" t="s">
        <v>1068</v>
      </c>
      <c r="C241" s="1" t="s">
        <v>4266</v>
      </c>
      <c r="D241" s="2" t="s">
        <v>86</v>
      </c>
      <c r="E241" s="2" t="s">
        <v>86</v>
      </c>
      <c r="F241" s="2" t="s">
        <v>86</v>
      </c>
      <c r="G241" s="2" t="s">
        <v>176</v>
      </c>
      <c r="H241" s="2" t="s">
        <v>4267</v>
      </c>
      <c r="I241" s="2" t="s">
        <v>4268</v>
      </c>
      <c r="J241" s="2" t="s">
        <v>4269</v>
      </c>
      <c r="K241" s="2" t="s">
        <v>68</v>
      </c>
      <c r="L241" s="2" t="s">
        <v>86</v>
      </c>
      <c r="M241" s="2" t="s">
        <v>4270</v>
      </c>
      <c r="N241" s="2" t="s">
        <v>4271</v>
      </c>
      <c r="O241" s="2" t="s">
        <v>911</v>
      </c>
      <c r="P241" s="2" t="s">
        <v>4272</v>
      </c>
      <c r="Q241" s="2" t="s">
        <v>4273</v>
      </c>
      <c r="R241" s="2" t="s">
        <v>3874</v>
      </c>
      <c r="S241" s="2" t="s">
        <v>3875</v>
      </c>
      <c r="T241" s="2" t="s">
        <v>86</v>
      </c>
      <c r="U241" s="2" t="s">
        <v>86</v>
      </c>
      <c r="V241" s="2" t="s">
        <v>86</v>
      </c>
      <c r="W241" s="2" t="s">
        <v>188</v>
      </c>
      <c r="X241" s="4">
        <v>52</v>
      </c>
      <c r="Y241" s="4">
        <v>3</v>
      </c>
      <c r="Z241" s="4">
        <v>3</v>
      </c>
      <c r="AA241" s="4">
        <v>0</v>
      </c>
      <c r="AB241" s="4">
        <v>2</v>
      </c>
      <c r="AC241" s="2" t="s">
        <v>189</v>
      </c>
      <c r="AD241" s="2" t="s">
        <v>165</v>
      </c>
      <c r="AE241" s="2" t="s">
        <v>190</v>
      </c>
      <c r="AF241" s="2" t="s">
        <v>86</v>
      </c>
      <c r="AG241" s="2" t="s">
        <v>86</v>
      </c>
      <c r="AH241" s="2" t="s">
        <v>4274</v>
      </c>
      <c r="AI241" s="2" t="s">
        <v>192</v>
      </c>
      <c r="AJ241" s="2" t="s">
        <v>86</v>
      </c>
      <c r="AK241" s="2" t="s">
        <v>86</v>
      </c>
      <c r="AL241" s="4">
        <v>2017</v>
      </c>
      <c r="AM241" s="4">
        <v>46</v>
      </c>
      <c r="AN241" s="2" t="s">
        <v>86</v>
      </c>
      <c r="AO241" s="2" t="s">
        <v>86</v>
      </c>
      <c r="AP241" s="2" t="s">
        <v>86</v>
      </c>
      <c r="AQ241" s="2" t="s">
        <v>86</v>
      </c>
      <c r="AR241" s="2" t="s">
        <v>86</v>
      </c>
      <c r="AS241" s="4">
        <v>476</v>
      </c>
      <c r="AT241" s="4">
        <v>494</v>
      </c>
      <c r="AU241" s="2" t="s">
        <v>86</v>
      </c>
      <c r="AV241" s="2" t="s">
        <v>86</v>
      </c>
      <c r="AW241" s="2" t="s">
        <v>86</v>
      </c>
      <c r="AX241" s="4">
        <v>19</v>
      </c>
      <c r="AY241" s="2" t="s">
        <v>4275</v>
      </c>
      <c r="AZ241" s="2" t="s">
        <v>194</v>
      </c>
      <c r="BA241" s="2" t="s">
        <v>4276</v>
      </c>
      <c r="BB241" s="2" t="s">
        <v>4277</v>
      </c>
      <c r="BC241" s="2" t="s">
        <v>86</v>
      </c>
      <c r="BD241" s="2" t="s">
        <v>86</v>
      </c>
      <c r="BE241" s="2" t="s">
        <v>86</v>
      </c>
      <c r="BF241" s="2" t="s">
        <v>86</v>
      </c>
      <c r="BG241" s="2" t="s">
        <v>95</v>
      </c>
      <c r="BH241" s="2" t="s">
        <v>4278</v>
      </c>
      <c r="BI241" s="2" t="str">
        <f>HYPERLINK("https%3A%2F%2Fwww.webofscience.com%2Fwos%2Fwoscc%2Ffull-record%2FWOS:000569505900026","View Full Record in Web of Science")</f>
        <v>View Full Record in Web of Science</v>
      </c>
    </row>
    <row r="242" spans="1:61" customFormat="1" ht="12.75" x14ac:dyDescent="0.2">
      <c r="A242" s="1">
        <v>239</v>
      </c>
      <c r="B242" s="1" t="s">
        <v>1068</v>
      </c>
      <c r="C242" s="1" t="s">
        <v>4279</v>
      </c>
      <c r="D242" s="2" t="s">
        <v>4280</v>
      </c>
      <c r="E242" s="2" t="s">
        <v>4281</v>
      </c>
      <c r="F242" s="3" t="str">
        <f>HYPERLINK("http://dx.doi.org/10.1007/s12221-014-0084-4","http://dx.doi.org/10.1007/s12221-014-0084-4")</f>
        <v>http://dx.doi.org/10.1007/s12221-014-0084-4</v>
      </c>
      <c r="G242" s="2" t="s">
        <v>200</v>
      </c>
      <c r="H242" s="2" t="s">
        <v>4282</v>
      </c>
      <c r="I242" s="2" t="s">
        <v>4283</v>
      </c>
      <c r="J242" s="2" t="s">
        <v>4284</v>
      </c>
      <c r="K242" s="2" t="s">
        <v>68</v>
      </c>
      <c r="L242" s="2" t="s">
        <v>4285</v>
      </c>
      <c r="M242" s="2" t="s">
        <v>4286</v>
      </c>
      <c r="N242" s="2" t="s">
        <v>4287</v>
      </c>
      <c r="O242" s="2" t="s">
        <v>4288</v>
      </c>
      <c r="P242" s="2" t="s">
        <v>4289</v>
      </c>
      <c r="Q242" s="2" t="s">
        <v>4290</v>
      </c>
      <c r="R242" s="2" t="s">
        <v>4291</v>
      </c>
      <c r="S242" s="2" t="s">
        <v>4292</v>
      </c>
      <c r="T242" s="2" t="s">
        <v>4293</v>
      </c>
      <c r="U242" s="2" t="s">
        <v>4294</v>
      </c>
      <c r="V242" s="2" t="s">
        <v>4295</v>
      </c>
      <c r="W242" s="2" t="s">
        <v>80</v>
      </c>
      <c r="X242" s="4">
        <v>21</v>
      </c>
      <c r="Y242" s="4">
        <v>8</v>
      </c>
      <c r="Z242" s="4">
        <v>8</v>
      </c>
      <c r="AA242" s="4">
        <v>2</v>
      </c>
      <c r="AB242" s="4">
        <v>30</v>
      </c>
      <c r="AC242" s="2" t="s">
        <v>4296</v>
      </c>
      <c r="AD242" s="2" t="s">
        <v>4297</v>
      </c>
      <c r="AE242" s="2" t="s">
        <v>4298</v>
      </c>
      <c r="AF242" s="2" t="s">
        <v>4299</v>
      </c>
      <c r="AG242" s="2" t="s">
        <v>4300</v>
      </c>
      <c r="AH242" s="2" t="s">
        <v>86</v>
      </c>
      <c r="AI242" s="2" t="s">
        <v>4301</v>
      </c>
      <c r="AJ242" s="2" t="s">
        <v>4302</v>
      </c>
      <c r="AK242" s="2" t="s">
        <v>534</v>
      </c>
      <c r="AL242" s="4">
        <v>2014</v>
      </c>
      <c r="AM242" s="4">
        <v>15</v>
      </c>
      <c r="AN242" s="4">
        <v>1</v>
      </c>
      <c r="AO242" s="2" t="s">
        <v>86</v>
      </c>
      <c r="AP242" s="2" t="s">
        <v>86</v>
      </c>
      <c r="AQ242" s="2" t="s">
        <v>86</v>
      </c>
      <c r="AR242" s="2" t="s">
        <v>86</v>
      </c>
      <c r="AS242" s="4">
        <v>84</v>
      </c>
      <c r="AT242" s="4">
        <v>90</v>
      </c>
      <c r="AU242" s="2" t="s">
        <v>86</v>
      </c>
      <c r="AV242" s="2" t="s">
        <v>86</v>
      </c>
      <c r="AW242" s="2" t="s">
        <v>86</v>
      </c>
      <c r="AX242" s="4">
        <v>7</v>
      </c>
      <c r="AY242" s="2" t="s">
        <v>4303</v>
      </c>
      <c r="AZ242" s="2" t="s">
        <v>92</v>
      </c>
      <c r="BA242" s="2" t="s">
        <v>4304</v>
      </c>
      <c r="BB242" s="2" t="s">
        <v>4305</v>
      </c>
      <c r="BC242" s="2" t="s">
        <v>86</v>
      </c>
      <c r="BD242" s="2" t="s">
        <v>86</v>
      </c>
      <c r="BE242" s="2" t="s">
        <v>86</v>
      </c>
      <c r="BF242" s="2" t="s">
        <v>86</v>
      </c>
      <c r="BG242" s="2" t="s">
        <v>95</v>
      </c>
      <c r="BH242" s="2" t="s">
        <v>4306</v>
      </c>
      <c r="BI242" s="2" t="str">
        <f>HYPERLINK("https%3A%2F%2Fwww.webofscience.com%2Fwos%2Fwoscc%2Ffull-record%2FWOS:000330200000013","View Full Record in Web of Science")</f>
        <v>View Full Record in Web of Science</v>
      </c>
    </row>
    <row r="243" spans="1:61" customFormat="1" ht="12.75" x14ac:dyDescent="0.2">
      <c r="A243" s="1">
        <v>240</v>
      </c>
      <c r="B243" s="1" t="s">
        <v>1068</v>
      </c>
      <c r="C243" s="1" t="s">
        <v>4307</v>
      </c>
      <c r="D243" s="2" t="s">
        <v>4308</v>
      </c>
      <c r="E243" s="2" t="s">
        <v>4309</v>
      </c>
      <c r="F243" s="3" t="str">
        <f>HYPERLINK("http://dx.doi.org/10.3390/w13182553","http://dx.doi.org/10.3390/w13182553")</f>
        <v>http://dx.doi.org/10.3390/w13182553</v>
      </c>
      <c r="G243" s="2" t="s">
        <v>200</v>
      </c>
      <c r="H243" s="2" t="s">
        <v>4310</v>
      </c>
      <c r="I243" s="2" t="s">
        <v>4311</v>
      </c>
      <c r="J243" s="2" t="s">
        <v>973</v>
      </c>
      <c r="K243" s="2" t="s">
        <v>68</v>
      </c>
      <c r="L243" s="2" t="s">
        <v>4312</v>
      </c>
      <c r="M243" s="2" t="s">
        <v>4313</v>
      </c>
      <c r="N243" s="2" t="s">
        <v>4314</v>
      </c>
      <c r="O243" s="2" t="s">
        <v>4315</v>
      </c>
      <c r="P243" s="2" t="s">
        <v>4316</v>
      </c>
      <c r="Q243" s="2" t="s">
        <v>4317</v>
      </c>
      <c r="R243" s="2" t="s">
        <v>4318</v>
      </c>
      <c r="S243" s="2" t="s">
        <v>4319</v>
      </c>
      <c r="T243" s="2" t="s">
        <v>86</v>
      </c>
      <c r="U243" s="2" t="s">
        <v>86</v>
      </c>
      <c r="V243" s="2" t="s">
        <v>86</v>
      </c>
      <c r="W243" s="2" t="s">
        <v>80</v>
      </c>
      <c r="X243" s="4">
        <v>71</v>
      </c>
      <c r="Y243" s="4">
        <v>4</v>
      </c>
      <c r="Z243" s="4">
        <v>4</v>
      </c>
      <c r="AA243" s="4">
        <v>9</v>
      </c>
      <c r="AB243" s="4">
        <v>31</v>
      </c>
      <c r="AC243" s="2" t="s">
        <v>211</v>
      </c>
      <c r="AD243" s="2" t="s">
        <v>212</v>
      </c>
      <c r="AE243" s="2" t="s">
        <v>213</v>
      </c>
      <c r="AF243" s="2" t="s">
        <v>86</v>
      </c>
      <c r="AG243" s="2" t="s">
        <v>982</v>
      </c>
      <c r="AH243" s="2" t="s">
        <v>86</v>
      </c>
      <c r="AI243" s="2" t="s">
        <v>983</v>
      </c>
      <c r="AJ243" s="2" t="s">
        <v>984</v>
      </c>
      <c r="AK243" s="2" t="s">
        <v>440</v>
      </c>
      <c r="AL243" s="4">
        <v>2021</v>
      </c>
      <c r="AM243" s="4">
        <v>13</v>
      </c>
      <c r="AN243" s="4">
        <v>18</v>
      </c>
      <c r="AO243" s="2" t="s">
        <v>86</v>
      </c>
      <c r="AP243" s="2" t="s">
        <v>86</v>
      </c>
      <c r="AQ243" s="2" t="s">
        <v>86</v>
      </c>
      <c r="AR243" s="2" t="s">
        <v>86</v>
      </c>
      <c r="AS243" s="2" t="s">
        <v>86</v>
      </c>
      <c r="AT243" s="2" t="s">
        <v>86</v>
      </c>
      <c r="AU243" s="4">
        <v>2553</v>
      </c>
      <c r="AV243" s="2" t="s">
        <v>86</v>
      </c>
      <c r="AW243" s="2" t="s">
        <v>86</v>
      </c>
      <c r="AX243" s="4">
        <v>14</v>
      </c>
      <c r="AY243" s="2" t="s">
        <v>469</v>
      </c>
      <c r="AZ243" s="2" t="s">
        <v>92</v>
      </c>
      <c r="BA243" s="2" t="s">
        <v>470</v>
      </c>
      <c r="BB243" s="2" t="s">
        <v>4320</v>
      </c>
      <c r="BC243" s="2" t="s">
        <v>86</v>
      </c>
      <c r="BD243" s="2" t="s">
        <v>321</v>
      </c>
      <c r="BE243" s="2" t="s">
        <v>86</v>
      </c>
      <c r="BF243" s="2" t="s">
        <v>86</v>
      </c>
      <c r="BG243" s="2" t="s">
        <v>95</v>
      </c>
      <c r="BH243" s="2" t="s">
        <v>4321</v>
      </c>
      <c r="BI243" s="2" t="str">
        <f>HYPERLINK("https%3A%2F%2Fwww.webofscience.com%2Fwos%2Fwoscc%2Ffull-record%2FWOS:000700526600001","View Full Record in Web of Science")</f>
        <v>View Full Record in Web of Science</v>
      </c>
    </row>
    <row r="244" spans="1:61" customFormat="1" ht="12.75" x14ac:dyDescent="0.2">
      <c r="A244" s="1">
        <v>241</v>
      </c>
      <c r="B244" s="1" t="s">
        <v>1068</v>
      </c>
      <c r="C244" s="1" t="s">
        <v>4322</v>
      </c>
      <c r="D244" s="2" t="s">
        <v>4323</v>
      </c>
      <c r="E244" s="2" t="s">
        <v>4324</v>
      </c>
      <c r="F244" s="3" t="str">
        <f>HYPERLINK("http://dx.doi.org/10.30638/eemj.2022.131","http://dx.doi.org/10.30638/eemj.2022.131")</f>
        <v>http://dx.doi.org/10.30638/eemj.2022.131</v>
      </c>
      <c r="G244" s="2" t="s">
        <v>200</v>
      </c>
      <c r="H244" s="2" t="s">
        <v>4325</v>
      </c>
      <c r="I244" s="2" t="s">
        <v>4326</v>
      </c>
      <c r="J244" s="2" t="s">
        <v>4327</v>
      </c>
      <c r="K244" s="2" t="s">
        <v>68</v>
      </c>
      <c r="L244" s="2" t="s">
        <v>4328</v>
      </c>
      <c r="M244" s="2" t="s">
        <v>4329</v>
      </c>
      <c r="N244" s="2" t="s">
        <v>4330</v>
      </c>
      <c r="O244" s="2" t="s">
        <v>4331</v>
      </c>
      <c r="P244" s="2" t="s">
        <v>4332</v>
      </c>
      <c r="Q244" s="2" t="s">
        <v>4333</v>
      </c>
      <c r="R244" s="2" t="s">
        <v>86</v>
      </c>
      <c r="S244" s="2" t="s">
        <v>86</v>
      </c>
      <c r="T244" s="2" t="s">
        <v>86</v>
      </c>
      <c r="U244" s="2" t="s">
        <v>86</v>
      </c>
      <c r="V244" s="2" t="s">
        <v>86</v>
      </c>
      <c r="W244" s="2" t="s">
        <v>80</v>
      </c>
      <c r="X244" s="4">
        <v>55</v>
      </c>
      <c r="Y244" s="4">
        <v>0</v>
      </c>
      <c r="Z244" s="4">
        <v>0</v>
      </c>
      <c r="AA244" s="4">
        <v>0</v>
      </c>
      <c r="AB244" s="4">
        <v>0</v>
      </c>
      <c r="AC244" s="2" t="s">
        <v>4334</v>
      </c>
      <c r="AD244" s="2" t="s">
        <v>4335</v>
      </c>
      <c r="AE244" s="2" t="s">
        <v>4336</v>
      </c>
      <c r="AF244" s="2" t="s">
        <v>4337</v>
      </c>
      <c r="AG244" s="2" t="s">
        <v>4338</v>
      </c>
      <c r="AH244" s="2" t="s">
        <v>86</v>
      </c>
      <c r="AI244" s="2" t="s">
        <v>4339</v>
      </c>
      <c r="AJ244" s="2" t="s">
        <v>4340</v>
      </c>
      <c r="AK244" s="2" t="s">
        <v>440</v>
      </c>
      <c r="AL244" s="4">
        <v>2022</v>
      </c>
      <c r="AM244" s="4">
        <v>21</v>
      </c>
      <c r="AN244" s="4">
        <v>9</v>
      </c>
      <c r="AO244" s="2" t="s">
        <v>86</v>
      </c>
      <c r="AP244" s="2" t="s">
        <v>86</v>
      </c>
      <c r="AQ244" s="2" t="s">
        <v>86</v>
      </c>
      <c r="AR244" s="2" t="s">
        <v>86</v>
      </c>
      <c r="AS244" s="4">
        <v>1483</v>
      </c>
      <c r="AT244" s="4">
        <v>1491</v>
      </c>
      <c r="AU244" s="2" t="s">
        <v>86</v>
      </c>
      <c r="AV244" s="2" t="s">
        <v>86</v>
      </c>
      <c r="AW244" s="2" t="s">
        <v>86</v>
      </c>
      <c r="AX244" s="4">
        <v>9</v>
      </c>
      <c r="AY244" s="2" t="s">
        <v>91</v>
      </c>
      <c r="AZ244" s="2" t="s">
        <v>92</v>
      </c>
      <c r="BA244" s="2" t="s">
        <v>93</v>
      </c>
      <c r="BB244" s="2" t="s">
        <v>4341</v>
      </c>
      <c r="BC244" s="2" t="s">
        <v>86</v>
      </c>
      <c r="BD244" s="2" t="s">
        <v>86</v>
      </c>
      <c r="BE244" s="2" t="s">
        <v>86</v>
      </c>
      <c r="BF244" s="2" t="s">
        <v>86</v>
      </c>
      <c r="BG244" s="2" t="s">
        <v>95</v>
      </c>
      <c r="BH244" s="2" t="s">
        <v>4342</v>
      </c>
      <c r="BI244" s="2" t="str">
        <f>HYPERLINK("https%3A%2F%2Fwww.webofscience.com%2Fwos%2Fwoscc%2Ffull-record%2FWOS:000925713600004","View Full Record in Web of Science")</f>
        <v>View Full Record in Web of Science</v>
      </c>
    </row>
    <row r="245" spans="1:61" customFormat="1" ht="12.75" x14ac:dyDescent="0.2">
      <c r="A245" s="1">
        <v>242</v>
      </c>
      <c r="B245" s="1" t="s">
        <v>1068</v>
      </c>
      <c r="C245" s="1" t="s">
        <v>4343</v>
      </c>
      <c r="D245" s="2" t="s">
        <v>4344</v>
      </c>
      <c r="E245" s="2" t="s">
        <v>4345</v>
      </c>
      <c r="F245" s="3" t="str">
        <f>HYPERLINK("http://dx.doi.org/10.1016/j.marpolbul.2021.112772","http://dx.doi.org/10.1016/j.marpolbul.2021.112772")</f>
        <v>http://dx.doi.org/10.1016/j.marpolbul.2021.112772</v>
      </c>
      <c r="G245" s="2" t="s">
        <v>200</v>
      </c>
      <c r="H245" s="2" t="s">
        <v>4346</v>
      </c>
      <c r="I245" s="2" t="s">
        <v>4347</v>
      </c>
      <c r="J245" s="2" t="s">
        <v>424</v>
      </c>
      <c r="K245" s="2" t="s">
        <v>68</v>
      </c>
      <c r="L245" s="2" t="s">
        <v>4348</v>
      </c>
      <c r="M245" s="2" t="s">
        <v>86</v>
      </c>
      <c r="N245" s="2" t="s">
        <v>4349</v>
      </c>
      <c r="O245" s="2" t="s">
        <v>4350</v>
      </c>
      <c r="P245" s="2" t="s">
        <v>73</v>
      </c>
      <c r="Q245" s="2" t="s">
        <v>74</v>
      </c>
      <c r="R245" s="2" t="s">
        <v>1175</v>
      </c>
      <c r="S245" s="2" t="s">
        <v>4351</v>
      </c>
      <c r="T245" s="2" t="s">
        <v>86</v>
      </c>
      <c r="U245" s="2" t="s">
        <v>86</v>
      </c>
      <c r="V245" s="2" t="s">
        <v>86</v>
      </c>
      <c r="W245" s="2" t="s">
        <v>80</v>
      </c>
      <c r="X245" s="4">
        <v>34</v>
      </c>
      <c r="Y245" s="4">
        <v>13</v>
      </c>
      <c r="Z245" s="4">
        <v>14</v>
      </c>
      <c r="AA245" s="4">
        <v>16</v>
      </c>
      <c r="AB245" s="4">
        <v>81</v>
      </c>
      <c r="AC245" s="2" t="s">
        <v>237</v>
      </c>
      <c r="AD245" s="2" t="s">
        <v>115</v>
      </c>
      <c r="AE245" s="2" t="s">
        <v>238</v>
      </c>
      <c r="AF245" s="2" t="s">
        <v>436</v>
      </c>
      <c r="AG245" s="2" t="s">
        <v>437</v>
      </c>
      <c r="AH245" s="2" t="s">
        <v>86</v>
      </c>
      <c r="AI245" s="2" t="s">
        <v>438</v>
      </c>
      <c r="AJ245" s="2" t="s">
        <v>439</v>
      </c>
      <c r="AK245" s="2" t="s">
        <v>873</v>
      </c>
      <c r="AL245" s="4">
        <v>2021</v>
      </c>
      <c r="AM245" s="4">
        <v>171</v>
      </c>
      <c r="AN245" s="2" t="s">
        <v>86</v>
      </c>
      <c r="AO245" s="2" t="s">
        <v>86</v>
      </c>
      <c r="AP245" s="2" t="s">
        <v>86</v>
      </c>
      <c r="AQ245" s="2" t="s">
        <v>86</v>
      </c>
      <c r="AR245" s="2" t="s">
        <v>86</v>
      </c>
      <c r="AS245" s="2" t="s">
        <v>86</v>
      </c>
      <c r="AT245" s="2" t="s">
        <v>86</v>
      </c>
      <c r="AU245" s="4">
        <v>112772</v>
      </c>
      <c r="AV245" s="2" t="s">
        <v>86</v>
      </c>
      <c r="AW245" s="2" t="s">
        <v>1160</v>
      </c>
      <c r="AX245" s="4">
        <v>4</v>
      </c>
      <c r="AY245" s="2" t="s">
        <v>441</v>
      </c>
      <c r="AZ245" s="2" t="s">
        <v>92</v>
      </c>
      <c r="BA245" s="2" t="s">
        <v>442</v>
      </c>
      <c r="BB245" s="2" t="s">
        <v>4352</v>
      </c>
      <c r="BC245" s="4">
        <v>34333304</v>
      </c>
      <c r="BD245" s="2" t="s">
        <v>86</v>
      </c>
      <c r="BE245" s="2" t="s">
        <v>86</v>
      </c>
      <c r="BF245" s="2" t="s">
        <v>86</v>
      </c>
      <c r="BG245" s="2" t="s">
        <v>95</v>
      </c>
      <c r="BH245" s="2" t="s">
        <v>4353</v>
      </c>
      <c r="BI245" s="2" t="str">
        <f>HYPERLINK("https%3A%2F%2Fwww.webofscience.com%2Fwos%2Fwoscc%2Ffull-record%2FWOS:000701687700006","View Full Record in Web of Science")</f>
        <v>View Full Record in Web of Science</v>
      </c>
    </row>
    <row r="246" spans="1:61" customFormat="1" ht="12.75" x14ac:dyDescent="0.2">
      <c r="A246" s="1">
        <v>243</v>
      </c>
      <c r="B246" s="1" t="s">
        <v>1068</v>
      </c>
      <c r="C246" s="1" t="s">
        <v>4354</v>
      </c>
      <c r="D246" s="2" t="s">
        <v>4355</v>
      </c>
      <c r="E246" s="2" t="s">
        <v>4356</v>
      </c>
      <c r="F246" s="3" t="str">
        <f>HYPERLINK("http://dx.doi.org/10.3390/polym15040859","http://dx.doi.org/10.3390/polym15040859")</f>
        <v>http://dx.doi.org/10.3390/polym15040859</v>
      </c>
      <c r="G246" s="2" t="s">
        <v>200</v>
      </c>
      <c r="H246" s="2" t="s">
        <v>4357</v>
      </c>
      <c r="I246" s="2" t="s">
        <v>4358</v>
      </c>
      <c r="J246" s="2" t="s">
        <v>203</v>
      </c>
      <c r="K246" s="2" t="s">
        <v>68</v>
      </c>
      <c r="L246" s="2" t="s">
        <v>4359</v>
      </c>
      <c r="M246" s="2" t="s">
        <v>4360</v>
      </c>
      <c r="N246" s="2" t="s">
        <v>4361</v>
      </c>
      <c r="O246" s="2" t="s">
        <v>687</v>
      </c>
      <c r="P246" s="2" t="s">
        <v>4362</v>
      </c>
      <c r="Q246" s="2" t="s">
        <v>4363</v>
      </c>
      <c r="R246" s="2" t="s">
        <v>86</v>
      </c>
      <c r="S246" s="2" t="s">
        <v>86</v>
      </c>
      <c r="T246" s="2" t="s">
        <v>86</v>
      </c>
      <c r="U246" s="2" t="s">
        <v>86</v>
      </c>
      <c r="V246" s="2" t="s">
        <v>86</v>
      </c>
      <c r="W246" s="2" t="s">
        <v>80</v>
      </c>
      <c r="X246" s="4">
        <v>35</v>
      </c>
      <c r="Y246" s="4">
        <v>0</v>
      </c>
      <c r="Z246" s="4">
        <v>0</v>
      </c>
      <c r="AA246" s="4">
        <v>6</v>
      </c>
      <c r="AB246" s="4">
        <v>6</v>
      </c>
      <c r="AC246" s="2" t="s">
        <v>211</v>
      </c>
      <c r="AD246" s="2" t="s">
        <v>212</v>
      </c>
      <c r="AE246" s="2" t="s">
        <v>213</v>
      </c>
      <c r="AF246" s="2" t="s">
        <v>86</v>
      </c>
      <c r="AG246" s="2" t="s">
        <v>214</v>
      </c>
      <c r="AH246" s="2" t="s">
        <v>86</v>
      </c>
      <c r="AI246" s="2" t="s">
        <v>215</v>
      </c>
      <c r="AJ246" s="2" t="s">
        <v>216</v>
      </c>
      <c r="AK246" s="2" t="s">
        <v>146</v>
      </c>
      <c r="AL246" s="4">
        <v>2023</v>
      </c>
      <c r="AM246" s="4">
        <v>15</v>
      </c>
      <c r="AN246" s="4">
        <v>4</v>
      </c>
      <c r="AO246" s="2" t="s">
        <v>86</v>
      </c>
      <c r="AP246" s="2" t="s">
        <v>86</v>
      </c>
      <c r="AQ246" s="2" t="s">
        <v>86</v>
      </c>
      <c r="AR246" s="2" t="s">
        <v>86</v>
      </c>
      <c r="AS246" s="2" t="s">
        <v>86</v>
      </c>
      <c r="AT246" s="2" t="s">
        <v>86</v>
      </c>
      <c r="AU246" s="4">
        <v>859</v>
      </c>
      <c r="AV246" s="2" t="s">
        <v>86</v>
      </c>
      <c r="AW246" s="2" t="s">
        <v>86</v>
      </c>
      <c r="AX246" s="4">
        <v>10</v>
      </c>
      <c r="AY246" s="2" t="s">
        <v>218</v>
      </c>
      <c r="AZ246" s="2" t="s">
        <v>92</v>
      </c>
      <c r="BA246" s="2" t="s">
        <v>218</v>
      </c>
      <c r="BB246" s="2" t="s">
        <v>4364</v>
      </c>
      <c r="BC246" s="4">
        <v>36850143</v>
      </c>
      <c r="BD246" s="2" t="s">
        <v>220</v>
      </c>
      <c r="BE246" s="2" t="s">
        <v>86</v>
      </c>
      <c r="BF246" s="2" t="s">
        <v>86</v>
      </c>
      <c r="BG246" s="2" t="s">
        <v>95</v>
      </c>
      <c r="BH246" s="2" t="s">
        <v>4365</v>
      </c>
      <c r="BI246" s="2" t="str">
        <f>HYPERLINK("https%3A%2F%2Fwww.webofscience.com%2Fwos%2Fwoscc%2Ffull-record%2FWOS:000939952800001","View Full Record in Web of Science")</f>
        <v>View Full Record in Web of Science</v>
      </c>
    </row>
    <row r="247" spans="1:61" customFormat="1" ht="12.75" x14ac:dyDescent="0.2">
      <c r="A247" s="1">
        <v>244</v>
      </c>
      <c r="B247" s="1" t="s">
        <v>1068</v>
      </c>
      <c r="C247" s="1" t="s">
        <v>4366</v>
      </c>
      <c r="D247" s="2" t="s">
        <v>4367</v>
      </c>
      <c r="E247" s="2" t="s">
        <v>86</v>
      </c>
      <c r="F247" s="2" t="s">
        <v>86</v>
      </c>
      <c r="G247" s="2" t="s">
        <v>200</v>
      </c>
      <c r="H247" s="2" t="s">
        <v>4368</v>
      </c>
      <c r="I247" s="2" t="s">
        <v>4369</v>
      </c>
      <c r="J247" s="2" t="s">
        <v>4370</v>
      </c>
      <c r="K247" s="2" t="s">
        <v>305</v>
      </c>
      <c r="L247" s="2" t="s">
        <v>4371</v>
      </c>
      <c r="M247" s="2" t="s">
        <v>4372</v>
      </c>
      <c r="N247" s="2" t="s">
        <v>4373</v>
      </c>
      <c r="O247" s="2" t="s">
        <v>159</v>
      </c>
      <c r="P247" s="2" t="s">
        <v>4374</v>
      </c>
      <c r="Q247" s="2" t="s">
        <v>4375</v>
      </c>
      <c r="R247" s="2" t="s">
        <v>4376</v>
      </c>
      <c r="S247" s="2" t="s">
        <v>86</v>
      </c>
      <c r="T247" s="2" t="s">
        <v>86</v>
      </c>
      <c r="U247" s="2" t="s">
        <v>86</v>
      </c>
      <c r="V247" s="2" t="s">
        <v>86</v>
      </c>
      <c r="W247" s="2" t="s">
        <v>80</v>
      </c>
      <c r="X247" s="4">
        <v>12</v>
      </c>
      <c r="Y247" s="4">
        <v>5</v>
      </c>
      <c r="Z247" s="4">
        <v>5</v>
      </c>
      <c r="AA247" s="4">
        <v>0</v>
      </c>
      <c r="AB247" s="4">
        <v>16</v>
      </c>
      <c r="AC247" s="2" t="s">
        <v>4377</v>
      </c>
      <c r="AD247" s="2" t="s">
        <v>932</v>
      </c>
      <c r="AE247" s="2" t="s">
        <v>4378</v>
      </c>
      <c r="AF247" s="2" t="s">
        <v>4379</v>
      </c>
      <c r="AG247" s="2" t="s">
        <v>86</v>
      </c>
      <c r="AH247" s="2" t="s">
        <v>86</v>
      </c>
      <c r="AI247" s="2" t="s">
        <v>4380</v>
      </c>
      <c r="AJ247" s="2" t="s">
        <v>4381</v>
      </c>
      <c r="AK247" s="2" t="s">
        <v>440</v>
      </c>
      <c r="AL247" s="4">
        <v>2012</v>
      </c>
      <c r="AM247" s="4">
        <v>27</v>
      </c>
      <c r="AN247" s="4">
        <v>3</v>
      </c>
      <c r="AO247" s="2" t="s">
        <v>86</v>
      </c>
      <c r="AP247" s="2" t="s">
        <v>86</v>
      </c>
      <c r="AQ247" s="2" t="s">
        <v>86</v>
      </c>
      <c r="AR247" s="2" t="s">
        <v>86</v>
      </c>
      <c r="AS247" s="4">
        <v>467</v>
      </c>
      <c r="AT247" s="4">
        <v>471</v>
      </c>
      <c r="AU247" s="2" t="s">
        <v>86</v>
      </c>
      <c r="AV247" s="2" t="s">
        <v>86</v>
      </c>
      <c r="AW247" s="2" t="s">
        <v>86</v>
      </c>
      <c r="AX247" s="4">
        <v>5</v>
      </c>
      <c r="AY247" s="2" t="s">
        <v>808</v>
      </c>
      <c r="AZ247" s="2" t="s">
        <v>92</v>
      </c>
      <c r="BA247" s="2" t="s">
        <v>345</v>
      </c>
      <c r="BB247" s="2" t="s">
        <v>4382</v>
      </c>
      <c r="BC247" s="2" t="s">
        <v>86</v>
      </c>
      <c r="BD247" s="2" t="s">
        <v>86</v>
      </c>
      <c r="BE247" s="2" t="s">
        <v>86</v>
      </c>
      <c r="BF247" s="2" t="s">
        <v>86</v>
      </c>
      <c r="BG247" s="2" t="s">
        <v>95</v>
      </c>
      <c r="BH247" s="2" t="s">
        <v>4383</v>
      </c>
      <c r="BI247" s="2" t="str">
        <f>HYPERLINK("https%3A%2F%2Fwww.webofscience.com%2Fwos%2Fwoscc%2Ffull-record%2FWOS:000309469800001","View Full Record in Web of Science")</f>
        <v>View Full Record in Web of Science</v>
      </c>
    </row>
    <row r="248" spans="1:61" customFormat="1" ht="12.75" x14ac:dyDescent="0.2">
      <c r="A248" s="1">
        <v>245</v>
      </c>
      <c r="B248" s="1" t="s">
        <v>1068</v>
      </c>
      <c r="C248" s="1" t="s">
        <v>4384</v>
      </c>
      <c r="D248" s="2" t="s">
        <v>4385</v>
      </c>
      <c r="E248" s="2" t="s">
        <v>4386</v>
      </c>
      <c r="F248" s="3" t="str">
        <f>HYPERLINK("http://dx.doi.org/10.1504/IJGW.2023.130138","http://dx.doi.org/10.1504/IJGW.2023.130138")</f>
        <v>http://dx.doi.org/10.1504/IJGW.2023.130138</v>
      </c>
      <c r="G248" s="2" t="s">
        <v>200</v>
      </c>
      <c r="H248" s="2" t="s">
        <v>4387</v>
      </c>
      <c r="I248" s="2" t="s">
        <v>4388</v>
      </c>
      <c r="J248" s="2" t="s">
        <v>4389</v>
      </c>
      <c r="K248" s="2" t="s">
        <v>68</v>
      </c>
      <c r="L248" s="2" t="s">
        <v>4390</v>
      </c>
      <c r="M248" s="2" t="s">
        <v>4391</v>
      </c>
      <c r="N248" s="2" t="s">
        <v>4392</v>
      </c>
      <c r="O248" s="2" t="s">
        <v>4393</v>
      </c>
      <c r="P248" s="2" t="s">
        <v>4394</v>
      </c>
      <c r="Q248" s="2" t="s">
        <v>4395</v>
      </c>
      <c r="R248" s="2" t="s">
        <v>86</v>
      </c>
      <c r="S248" s="2" t="s">
        <v>86</v>
      </c>
      <c r="T248" s="2" t="s">
        <v>86</v>
      </c>
      <c r="U248" s="2" t="s">
        <v>86</v>
      </c>
      <c r="V248" s="2" t="s">
        <v>86</v>
      </c>
      <c r="W248" s="2" t="s">
        <v>80</v>
      </c>
      <c r="X248" s="4">
        <v>31</v>
      </c>
      <c r="Y248" s="4">
        <v>0</v>
      </c>
      <c r="Z248" s="4">
        <v>0</v>
      </c>
      <c r="AA248" s="4">
        <v>0</v>
      </c>
      <c r="AB248" s="4">
        <v>0</v>
      </c>
      <c r="AC248" s="2" t="s">
        <v>4396</v>
      </c>
      <c r="AD248" s="2" t="s">
        <v>4397</v>
      </c>
      <c r="AE248" s="2" t="s">
        <v>4398</v>
      </c>
      <c r="AF248" s="2" t="s">
        <v>4399</v>
      </c>
      <c r="AG248" s="2" t="s">
        <v>4400</v>
      </c>
      <c r="AH248" s="2" t="s">
        <v>86</v>
      </c>
      <c r="AI248" s="2" t="s">
        <v>4401</v>
      </c>
      <c r="AJ248" s="2" t="s">
        <v>4402</v>
      </c>
      <c r="AK248" s="2" t="s">
        <v>86</v>
      </c>
      <c r="AL248" s="4">
        <v>2023</v>
      </c>
      <c r="AM248" s="4">
        <v>29</v>
      </c>
      <c r="AN248" s="4">
        <v>4</v>
      </c>
      <c r="AO248" s="2" t="s">
        <v>86</v>
      </c>
      <c r="AP248" s="2" t="s">
        <v>86</v>
      </c>
      <c r="AQ248" s="2" t="s">
        <v>86</v>
      </c>
      <c r="AR248" s="2" t="s">
        <v>86</v>
      </c>
      <c r="AS248" s="4">
        <v>395</v>
      </c>
      <c r="AT248" s="4">
        <v>405</v>
      </c>
      <c r="AU248" s="2" t="s">
        <v>86</v>
      </c>
      <c r="AV248" s="2" t="s">
        <v>86</v>
      </c>
      <c r="AW248" s="2" t="s">
        <v>86</v>
      </c>
      <c r="AX248" s="4">
        <v>12</v>
      </c>
      <c r="AY248" s="2" t="s">
        <v>91</v>
      </c>
      <c r="AZ248" s="2" t="s">
        <v>92</v>
      </c>
      <c r="BA248" s="2" t="s">
        <v>93</v>
      </c>
      <c r="BB248" s="2" t="s">
        <v>4403</v>
      </c>
      <c r="BC248" s="2" t="s">
        <v>86</v>
      </c>
      <c r="BD248" s="2" t="s">
        <v>86</v>
      </c>
      <c r="BE248" s="2" t="s">
        <v>86</v>
      </c>
      <c r="BF248" s="2" t="s">
        <v>86</v>
      </c>
      <c r="BG248" s="2" t="s">
        <v>95</v>
      </c>
      <c r="BH248" s="2" t="s">
        <v>4404</v>
      </c>
      <c r="BI248" s="2" t="str">
        <f>HYPERLINK("https%3A%2F%2Fwww.webofscience.com%2Fwos%2Fwoscc%2Ffull-record%2FWOS:000964922100007","View Full Record in Web of Science")</f>
        <v>View Full Record in Web of Science</v>
      </c>
    </row>
    <row r="249" spans="1:61" customFormat="1" ht="12.75" x14ac:dyDescent="0.2">
      <c r="A249" s="1">
        <v>246</v>
      </c>
      <c r="B249" s="1" t="s">
        <v>1068</v>
      </c>
      <c r="C249" s="1" t="s">
        <v>4405</v>
      </c>
      <c r="D249" s="2" t="s">
        <v>4406</v>
      </c>
      <c r="E249" s="2" t="s">
        <v>4407</v>
      </c>
      <c r="F249" s="3" t="str">
        <f>HYPERLINK("http://dx.doi.org/10.1021/acsestwater.2c00023","http://dx.doi.org/10.1021/acsestwater.2c00023")</f>
        <v>http://dx.doi.org/10.1021/acsestwater.2c00023</v>
      </c>
      <c r="G249" s="2" t="s">
        <v>642</v>
      </c>
      <c r="H249" s="2" t="s">
        <v>4408</v>
      </c>
      <c r="I249" s="2" t="s">
        <v>4409</v>
      </c>
      <c r="J249" s="2" t="s">
        <v>450</v>
      </c>
      <c r="K249" s="2" t="s">
        <v>68</v>
      </c>
      <c r="L249" s="2" t="s">
        <v>4410</v>
      </c>
      <c r="M249" s="2" t="s">
        <v>4411</v>
      </c>
      <c r="N249" s="2" t="s">
        <v>4412</v>
      </c>
      <c r="O249" s="2" t="s">
        <v>4413</v>
      </c>
      <c r="P249" s="2" t="s">
        <v>4414</v>
      </c>
      <c r="Q249" s="2" t="s">
        <v>4415</v>
      </c>
      <c r="R249" s="2" t="s">
        <v>86</v>
      </c>
      <c r="S249" s="2" t="s">
        <v>4416</v>
      </c>
      <c r="T249" s="2" t="s">
        <v>86</v>
      </c>
      <c r="U249" s="2" t="s">
        <v>86</v>
      </c>
      <c r="V249" s="2" t="s">
        <v>86</v>
      </c>
      <c r="W249" s="2" t="s">
        <v>80</v>
      </c>
      <c r="X249" s="4">
        <v>53</v>
      </c>
      <c r="Y249" s="4">
        <v>0</v>
      </c>
      <c r="Z249" s="4">
        <v>0</v>
      </c>
      <c r="AA249" s="4">
        <v>1</v>
      </c>
      <c r="AB249" s="4">
        <v>5</v>
      </c>
      <c r="AC249" s="2" t="s">
        <v>461</v>
      </c>
      <c r="AD249" s="2" t="s">
        <v>462</v>
      </c>
      <c r="AE249" s="2" t="s">
        <v>463</v>
      </c>
      <c r="AF249" s="2" t="s">
        <v>86</v>
      </c>
      <c r="AG249" s="2" t="s">
        <v>464</v>
      </c>
      <c r="AH249" s="2" t="s">
        <v>86</v>
      </c>
      <c r="AI249" s="2" t="s">
        <v>465</v>
      </c>
      <c r="AJ249" s="2" t="s">
        <v>466</v>
      </c>
      <c r="AK249" s="2" t="s">
        <v>4417</v>
      </c>
      <c r="AL249" s="4">
        <v>2022</v>
      </c>
      <c r="AM249" s="2" t="s">
        <v>86</v>
      </c>
      <c r="AN249" s="2" t="s">
        <v>86</v>
      </c>
      <c r="AO249" s="2" t="s">
        <v>86</v>
      </c>
      <c r="AP249" s="2" t="s">
        <v>86</v>
      </c>
      <c r="AQ249" s="2" t="s">
        <v>86</v>
      </c>
      <c r="AR249" s="2" t="s">
        <v>86</v>
      </c>
      <c r="AS249" s="2" t="s">
        <v>86</v>
      </c>
      <c r="AT249" s="2" t="s">
        <v>86</v>
      </c>
      <c r="AU249" s="2" t="s">
        <v>86</v>
      </c>
      <c r="AV249" s="2" t="s">
        <v>86</v>
      </c>
      <c r="AW249" s="2" t="s">
        <v>343</v>
      </c>
      <c r="AX249" s="4">
        <v>8</v>
      </c>
      <c r="AY249" s="2" t="s">
        <v>469</v>
      </c>
      <c r="AZ249" s="2" t="s">
        <v>171</v>
      </c>
      <c r="BA249" s="2" t="s">
        <v>470</v>
      </c>
      <c r="BB249" s="2" t="s">
        <v>4418</v>
      </c>
      <c r="BC249" s="2" t="s">
        <v>86</v>
      </c>
      <c r="BD249" s="2" t="s">
        <v>86</v>
      </c>
      <c r="BE249" s="2" t="s">
        <v>86</v>
      </c>
      <c r="BF249" s="2" t="s">
        <v>86</v>
      </c>
      <c r="BG249" s="2" t="s">
        <v>95</v>
      </c>
      <c r="BH249" s="2" t="s">
        <v>4419</v>
      </c>
      <c r="BI249" s="2" t="str">
        <f>HYPERLINK("https%3A%2F%2Fwww.webofscience.com%2Fwos%2Fwoscc%2Ffull-record%2FWOS:000820893600001","View Full Record in Web of Science")</f>
        <v>View Full Record in Web of Science</v>
      </c>
    </row>
    <row r="250" spans="1:61" customFormat="1" ht="12.75" x14ac:dyDescent="0.2">
      <c r="A250" s="1">
        <v>247</v>
      </c>
      <c r="B250" s="1" t="s">
        <v>1068</v>
      </c>
      <c r="C250" s="1" t="s">
        <v>4420</v>
      </c>
      <c r="D250" s="2" t="s">
        <v>4421</v>
      </c>
      <c r="E250" s="2" t="s">
        <v>4422</v>
      </c>
      <c r="F250" s="3" t="str">
        <f>HYPERLINK("http://dx.doi.org/10.1016/j.conbuildmat.2020.119559","http://dx.doi.org/10.1016/j.conbuildmat.2020.119559")</f>
        <v>http://dx.doi.org/10.1016/j.conbuildmat.2020.119559</v>
      </c>
      <c r="G250" s="2" t="s">
        <v>200</v>
      </c>
      <c r="H250" s="2" t="s">
        <v>4423</v>
      </c>
      <c r="I250" s="2" t="s">
        <v>4424</v>
      </c>
      <c r="J250" s="2" t="s">
        <v>4425</v>
      </c>
      <c r="K250" s="2" t="s">
        <v>68</v>
      </c>
      <c r="L250" s="2" t="s">
        <v>4426</v>
      </c>
      <c r="M250" s="2" t="s">
        <v>4427</v>
      </c>
      <c r="N250" s="2" t="s">
        <v>4428</v>
      </c>
      <c r="O250" s="2" t="s">
        <v>4429</v>
      </c>
      <c r="P250" s="2" t="s">
        <v>4430</v>
      </c>
      <c r="Q250" s="2" t="s">
        <v>4431</v>
      </c>
      <c r="R250" s="2" t="s">
        <v>4432</v>
      </c>
      <c r="S250" s="2" t="s">
        <v>4433</v>
      </c>
      <c r="T250" s="2" t="s">
        <v>4434</v>
      </c>
      <c r="U250" s="2" t="s">
        <v>4434</v>
      </c>
      <c r="V250" s="2" t="s">
        <v>4435</v>
      </c>
      <c r="W250" s="2" t="s">
        <v>80</v>
      </c>
      <c r="X250" s="4">
        <v>71</v>
      </c>
      <c r="Y250" s="4">
        <v>69</v>
      </c>
      <c r="Z250" s="4">
        <v>69</v>
      </c>
      <c r="AA250" s="4">
        <v>3</v>
      </c>
      <c r="AB250" s="4">
        <v>685</v>
      </c>
      <c r="AC250" s="2" t="s">
        <v>114</v>
      </c>
      <c r="AD250" s="2" t="s">
        <v>115</v>
      </c>
      <c r="AE250" s="2" t="s">
        <v>116</v>
      </c>
      <c r="AF250" s="2" t="s">
        <v>4436</v>
      </c>
      <c r="AG250" s="2" t="s">
        <v>4437</v>
      </c>
      <c r="AH250" s="2" t="s">
        <v>86</v>
      </c>
      <c r="AI250" s="2" t="s">
        <v>4438</v>
      </c>
      <c r="AJ250" s="2" t="s">
        <v>4439</v>
      </c>
      <c r="AK250" s="2" t="s">
        <v>4440</v>
      </c>
      <c r="AL250" s="4">
        <v>2020</v>
      </c>
      <c r="AM250" s="4">
        <v>257</v>
      </c>
      <c r="AN250" s="2" t="s">
        <v>86</v>
      </c>
      <c r="AO250" s="2" t="s">
        <v>86</v>
      </c>
      <c r="AP250" s="2" t="s">
        <v>86</v>
      </c>
      <c r="AQ250" s="2" t="s">
        <v>86</v>
      </c>
      <c r="AR250" s="2" t="s">
        <v>86</v>
      </c>
      <c r="AS250" s="2" t="s">
        <v>86</v>
      </c>
      <c r="AT250" s="2" t="s">
        <v>86</v>
      </c>
      <c r="AU250" s="4">
        <v>119559</v>
      </c>
      <c r="AV250" s="2" t="s">
        <v>86</v>
      </c>
      <c r="AW250" s="2" t="s">
        <v>86</v>
      </c>
      <c r="AX250" s="4">
        <v>11</v>
      </c>
      <c r="AY250" s="2" t="s">
        <v>4441</v>
      </c>
      <c r="AZ250" s="2" t="s">
        <v>92</v>
      </c>
      <c r="BA250" s="2" t="s">
        <v>4442</v>
      </c>
      <c r="BB250" s="2" t="s">
        <v>4443</v>
      </c>
      <c r="BC250" s="2" t="s">
        <v>86</v>
      </c>
      <c r="BD250" s="2" t="s">
        <v>86</v>
      </c>
      <c r="BE250" s="2" t="s">
        <v>86</v>
      </c>
      <c r="BF250" s="2" t="s">
        <v>86</v>
      </c>
      <c r="BG250" s="2" t="s">
        <v>95</v>
      </c>
      <c r="BH250" s="2" t="s">
        <v>4444</v>
      </c>
      <c r="BI250" s="2" t="str">
        <f>HYPERLINK("https%3A%2F%2Fwww.webofscience.com%2Fwos%2Fwoscc%2Ffull-record%2FWOS:000545559400061","View Full Record in Web of Science")</f>
        <v>View Full Record in Web of Science</v>
      </c>
    </row>
    <row r="251" spans="1:61" customFormat="1" ht="12.75" x14ac:dyDescent="0.2">
      <c r="A251" s="1">
        <v>248</v>
      </c>
      <c r="B251" s="1" t="s">
        <v>1068</v>
      </c>
      <c r="C251" s="1" t="s">
        <v>4445</v>
      </c>
      <c r="D251" s="2" t="s">
        <v>4446</v>
      </c>
      <c r="E251" s="2" t="s">
        <v>86</v>
      </c>
      <c r="F251" s="2" t="s">
        <v>86</v>
      </c>
      <c r="G251" s="2" t="s">
        <v>176</v>
      </c>
      <c r="H251" s="2" t="s">
        <v>4447</v>
      </c>
      <c r="I251" s="2" t="s">
        <v>4448</v>
      </c>
      <c r="J251" s="2" t="s">
        <v>179</v>
      </c>
      <c r="K251" s="2" t="s">
        <v>68</v>
      </c>
      <c r="L251" s="2" t="s">
        <v>4449</v>
      </c>
      <c r="M251" s="2" t="s">
        <v>4450</v>
      </c>
      <c r="N251" s="2" t="s">
        <v>4451</v>
      </c>
      <c r="O251" s="2" t="s">
        <v>4452</v>
      </c>
      <c r="P251" s="2" t="s">
        <v>4453</v>
      </c>
      <c r="Q251" s="2" t="s">
        <v>4454</v>
      </c>
      <c r="R251" s="2" t="s">
        <v>4455</v>
      </c>
      <c r="S251" s="2" t="s">
        <v>4456</v>
      </c>
      <c r="T251" s="2" t="s">
        <v>3096</v>
      </c>
      <c r="U251" s="2" t="s">
        <v>3097</v>
      </c>
      <c r="V251" s="2" t="s">
        <v>3098</v>
      </c>
      <c r="W251" s="2" t="s">
        <v>188</v>
      </c>
      <c r="X251" s="4">
        <v>23</v>
      </c>
      <c r="Y251" s="4">
        <v>1</v>
      </c>
      <c r="Z251" s="4">
        <v>1</v>
      </c>
      <c r="AA251" s="4">
        <v>1</v>
      </c>
      <c r="AB251" s="4">
        <v>2</v>
      </c>
      <c r="AC251" s="2" t="s">
        <v>189</v>
      </c>
      <c r="AD251" s="2" t="s">
        <v>165</v>
      </c>
      <c r="AE251" s="2" t="s">
        <v>190</v>
      </c>
      <c r="AF251" s="2" t="s">
        <v>86</v>
      </c>
      <c r="AG251" s="2" t="s">
        <v>86</v>
      </c>
      <c r="AH251" s="2" t="s">
        <v>191</v>
      </c>
      <c r="AI251" s="2" t="s">
        <v>192</v>
      </c>
      <c r="AJ251" s="2" t="s">
        <v>86</v>
      </c>
      <c r="AK251" s="2" t="s">
        <v>86</v>
      </c>
      <c r="AL251" s="4">
        <v>2020</v>
      </c>
      <c r="AM251" s="4">
        <v>56</v>
      </c>
      <c r="AN251" s="2" t="s">
        <v>86</v>
      </c>
      <c r="AO251" s="2" t="s">
        <v>86</v>
      </c>
      <c r="AP251" s="2" t="s">
        <v>86</v>
      </c>
      <c r="AQ251" s="2" t="s">
        <v>86</v>
      </c>
      <c r="AR251" s="2" t="s">
        <v>86</v>
      </c>
      <c r="AS251" s="4">
        <v>23</v>
      </c>
      <c r="AT251" s="4">
        <v>36</v>
      </c>
      <c r="AU251" s="2" t="s">
        <v>86</v>
      </c>
      <c r="AV251" s="2" t="s">
        <v>86</v>
      </c>
      <c r="AW251" s="2" t="s">
        <v>86</v>
      </c>
      <c r="AX251" s="4">
        <v>14</v>
      </c>
      <c r="AY251" s="2" t="s">
        <v>193</v>
      </c>
      <c r="AZ251" s="2" t="s">
        <v>194</v>
      </c>
      <c r="BA251" s="2" t="s">
        <v>93</v>
      </c>
      <c r="BB251" s="2" t="s">
        <v>195</v>
      </c>
      <c r="BC251" s="2" t="s">
        <v>86</v>
      </c>
      <c r="BD251" s="2" t="s">
        <v>86</v>
      </c>
      <c r="BE251" s="2" t="s">
        <v>86</v>
      </c>
      <c r="BF251" s="2" t="s">
        <v>86</v>
      </c>
      <c r="BG251" s="2" t="s">
        <v>95</v>
      </c>
      <c r="BH251" s="2" t="s">
        <v>4457</v>
      </c>
      <c r="BI251" s="2" t="str">
        <f>HYPERLINK("https%3A%2F%2Fwww.webofscience.com%2Fwos%2Fwoscc%2Ffull-record%2FWOS:000637180200004","View Full Record in Web of Science")</f>
        <v>View Full Record in Web of Science</v>
      </c>
    </row>
    <row r="252" spans="1:61" customFormat="1" ht="12.75" x14ac:dyDescent="0.2">
      <c r="A252" s="1">
        <v>249</v>
      </c>
      <c r="B252" s="1" t="s">
        <v>1068</v>
      </c>
      <c r="C252" s="1" t="s">
        <v>4458</v>
      </c>
      <c r="D252" s="2" t="s">
        <v>4459</v>
      </c>
      <c r="E252" s="2" t="s">
        <v>4460</v>
      </c>
      <c r="F252" s="3" t="str">
        <f>HYPERLINK("http://dx.doi.org/10.1016/j.rsma.2021.101902","http://dx.doi.org/10.1016/j.rsma.2021.101902")</f>
        <v>http://dx.doi.org/10.1016/j.rsma.2021.101902</v>
      </c>
      <c r="G252" s="2" t="s">
        <v>200</v>
      </c>
      <c r="H252" s="2" t="s">
        <v>4461</v>
      </c>
      <c r="I252" s="2" t="s">
        <v>4462</v>
      </c>
      <c r="J252" s="2" t="s">
        <v>2059</v>
      </c>
      <c r="K252" s="2" t="s">
        <v>68</v>
      </c>
      <c r="L252" s="2" t="s">
        <v>4463</v>
      </c>
      <c r="M252" s="2" t="s">
        <v>4464</v>
      </c>
      <c r="N252" s="2" t="s">
        <v>4465</v>
      </c>
      <c r="O252" s="2" t="s">
        <v>4466</v>
      </c>
      <c r="P252" s="2" t="s">
        <v>4467</v>
      </c>
      <c r="Q252" s="2" t="s">
        <v>4468</v>
      </c>
      <c r="R252" s="2" t="s">
        <v>4469</v>
      </c>
      <c r="S252" s="2" t="s">
        <v>4470</v>
      </c>
      <c r="T252" s="2" t="s">
        <v>4471</v>
      </c>
      <c r="U252" s="2" t="s">
        <v>4472</v>
      </c>
      <c r="V252" s="2" t="s">
        <v>4473</v>
      </c>
      <c r="W252" s="2" t="s">
        <v>80</v>
      </c>
      <c r="X252" s="4">
        <v>84</v>
      </c>
      <c r="Y252" s="4">
        <v>11</v>
      </c>
      <c r="Z252" s="4">
        <v>12</v>
      </c>
      <c r="AA252" s="4">
        <v>0</v>
      </c>
      <c r="AB252" s="4">
        <v>5</v>
      </c>
      <c r="AC252" s="2" t="s">
        <v>585</v>
      </c>
      <c r="AD252" s="2" t="s">
        <v>586</v>
      </c>
      <c r="AE252" s="2" t="s">
        <v>587</v>
      </c>
      <c r="AF252" s="2" t="s">
        <v>2071</v>
      </c>
      <c r="AG252" s="2" t="s">
        <v>86</v>
      </c>
      <c r="AH252" s="2" t="s">
        <v>86</v>
      </c>
      <c r="AI252" s="2" t="s">
        <v>2072</v>
      </c>
      <c r="AJ252" s="2" t="s">
        <v>2073</v>
      </c>
      <c r="AK252" s="2" t="s">
        <v>1458</v>
      </c>
      <c r="AL252" s="4">
        <v>2021</v>
      </c>
      <c r="AM252" s="4">
        <v>46</v>
      </c>
      <c r="AN252" s="2" t="s">
        <v>86</v>
      </c>
      <c r="AO252" s="2" t="s">
        <v>86</v>
      </c>
      <c r="AP252" s="2" t="s">
        <v>86</v>
      </c>
      <c r="AQ252" s="2" t="s">
        <v>86</v>
      </c>
      <c r="AR252" s="2" t="s">
        <v>86</v>
      </c>
      <c r="AS252" s="2" t="s">
        <v>86</v>
      </c>
      <c r="AT252" s="2" t="s">
        <v>86</v>
      </c>
      <c r="AU252" s="4">
        <v>101902</v>
      </c>
      <c r="AV252" s="2" t="s">
        <v>86</v>
      </c>
      <c r="AW252" s="2" t="s">
        <v>827</v>
      </c>
      <c r="AX252" s="4">
        <v>8</v>
      </c>
      <c r="AY252" s="2" t="s">
        <v>2074</v>
      </c>
      <c r="AZ252" s="2" t="s">
        <v>92</v>
      </c>
      <c r="BA252" s="2" t="s">
        <v>442</v>
      </c>
      <c r="BB252" s="2" t="s">
        <v>4474</v>
      </c>
      <c r="BC252" s="2" t="s">
        <v>86</v>
      </c>
      <c r="BD252" s="2" t="s">
        <v>86</v>
      </c>
      <c r="BE252" s="2" t="s">
        <v>86</v>
      </c>
      <c r="BF252" s="2" t="s">
        <v>86</v>
      </c>
      <c r="BG252" s="2" t="s">
        <v>95</v>
      </c>
      <c r="BH252" s="2" t="s">
        <v>4475</v>
      </c>
      <c r="BI252" s="2" t="str">
        <f>HYPERLINK("https%3A%2F%2Fwww.webofscience.com%2Fwos%2Fwoscc%2Ffull-record%2FWOS:000674645000006","View Full Record in Web of Science")</f>
        <v>View Full Record in Web of Science</v>
      </c>
    </row>
    <row r="253" spans="1:61" customFormat="1" ht="12.75" x14ac:dyDescent="0.2">
      <c r="A253" s="1">
        <v>250</v>
      </c>
      <c r="B253" s="1" t="s">
        <v>1068</v>
      </c>
      <c r="C253" s="1" t="s">
        <v>4476</v>
      </c>
      <c r="D253" s="2" t="s">
        <v>4477</v>
      </c>
      <c r="E253" s="2" t="s">
        <v>4478</v>
      </c>
      <c r="F253" s="3" t="str">
        <f>HYPERLINK("http://dx.doi.org/10.15244/pjoes/130636","http://dx.doi.org/10.15244/pjoes/130636")</f>
        <v>http://dx.doi.org/10.15244/pjoes/130636</v>
      </c>
      <c r="G253" s="2" t="s">
        <v>200</v>
      </c>
      <c r="H253" s="2" t="s">
        <v>4479</v>
      </c>
      <c r="I253" s="2" t="s">
        <v>4480</v>
      </c>
      <c r="J253" s="2" t="s">
        <v>4481</v>
      </c>
      <c r="K253" s="2" t="s">
        <v>68</v>
      </c>
      <c r="L253" s="2" t="s">
        <v>4482</v>
      </c>
      <c r="M253" s="2" t="s">
        <v>4483</v>
      </c>
      <c r="N253" s="2" t="s">
        <v>4484</v>
      </c>
      <c r="O253" s="2" t="s">
        <v>4485</v>
      </c>
      <c r="P253" s="2" t="s">
        <v>4486</v>
      </c>
      <c r="Q253" s="2" t="s">
        <v>4487</v>
      </c>
      <c r="R253" s="2" t="s">
        <v>4488</v>
      </c>
      <c r="S253" s="2" t="s">
        <v>4489</v>
      </c>
      <c r="T253" s="2" t="s">
        <v>86</v>
      </c>
      <c r="U253" s="2" t="s">
        <v>86</v>
      </c>
      <c r="V253" s="2" t="s">
        <v>86</v>
      </c>
      <c r="W253" s="2" t="s">
        <v>80</v>
      </c>
      <c r="X253" s="4">
        <v>73</v>
      </c>
      <c r="Y253" s="4">
        <v>5</v>
      </c>
      <c r="Z253" s="4">
        <v>5</v>
      </c>
      <c r="AA253" s="4">
        <v>3</v>
      </c>
      <c r="AB253" s="4">
        <v>33</v>
      </c>
      <c r="AC253" s="2" t="s">
        <v>4490</v>
      </c>
      <c r="AD253" s="2" t="s">
        <v>4491</v>
      </c>
      <c r="AE253" s="2" t="s">
        <v>4492</v>
      </c>
      <c r="AF253" s="2" t="s">
        <v>4493</v>
      </c>
      <c r="AG253" s="2" t="s">
        <v>4494</v>
      </c>
      <c r="AH253" s="2" t="s">
        <v>86</v>
      </c>
      <c r="AI253" s="2" t="s">
        <v>4495</v>
      </c>
      <c r="AJ253" s="2" t="s">
        <v>4496</v>
      </c>
      <c r="AK253" s="2" t="s">
        <v>86</v>
      </c>
      <c r="AL253" s="4">
        <v>2021</v>
      </c>
      <c r="AM253" s="4">
        <v>30</v>
      </c>
      <c r="AN253" s="4">
        <v>4</v>
      </c>
      <c r="AO253" s="2" t="s">
        <v>86</v>
      </c>
      <c r="AP253" s="2" t="s">
        <v>86</v>
      </c>
      <c r="AQ253" s="2" t="s">
        <v>86</v>
      </c>
      <c r="AR253" s="2" t="s">
        <v>86</v>
      </c>
      <c r="AS253" s="4">
        <v>2981</v>
      </c>
      <c r="AT253" s="4">
        <v>2993</v>
      </c>
      <c r="AU253" s="2" t="s">
        <v>86</v>
      </c>
      <c r="AV253" s="2" t="s">
        <v>86</v>
      </c>
      <c r="AW253" s="2" t="s">
        <v>86</v>
      </c>
      <c r="AX253" s="4">
        <v>13</v>
      </c>
      <c r="AY253" s="2" t="s">
        <v>91</v>
      </c>
      <c r="AZ253" s="2" t="s">
        <v>92</v>
      </c>
      <c r="BA253" s="2" t="s">
        <v>93</v>
      </c>
      <c r="BB253" s="2" t="s">
        <v>4497</v>
      </c>
      <c r="BC253" s="2" t="s">
        <v>86</v>
      </c>
      <c r="BD253" s="2" t="s">
        <v>321</v>
      </c>
      <c r="BE253" s="2" t="s">
        <v>86</v>
      </c>
      <c r="BF253" s="2" t="s">
        <v>86</v>
      </c>
      <c r="BG253" s="2" t="s">
        <v>95</v>
      </c>
      <c r="BH253" s="2" t="s">
        <v>4498</v>
      </c>
      <c r="BI253" s="2" t="str">
        <f>HYPERLINK("https%3A%2F%2Fwww.webofscience.com%2Fwos%2Fwoscc%2Ffull-record%2FWOS:000660546600003","View Full Record in Web of Science")</f>
        <v>View Full Record in Web of Science</v>
      </c>
    </row>
    <row r="254" spans="1:61" customFormat="1" ht="12.75" x14ac:dyDescent="0.2">
      <c r="A254" s="1">
        <v>251</v>
      </c>
      <c r="B254" s="1" t="s">
        <v>1068</v>
      </c>
      <c r="C254" s="1" t="s">
        <v>4499</v>
      </c>
      <c r="D254" s="2" t="s">
        <v>4500</v>
      </c>
      <c r="E254" s="2" t="s">
        <v>4501</v>
      </c>
      <c r="F254" s="3" t="str">
        <f>HYPERLINK("http://dx.doi.org/10.1007/s10098-015-1071-1","http://dx.doi.org/10.1007/s10098-015-1071-1")</f>
        <v>http://dx.doi.org/10.1007/s10098-015-1071-1</v>
      </c>
      <c r="G254" s="2" t="s">
        <v>200</v>
      </c>
      <c r="H254" s="2" t="s">
        <v>4502</v>
      </c>
      <c r="I254" s="2" t="s">
        <v>4503</v>
      </c>
      <c r="J254" s="2" t="s">
        <v>4504</v>
      </c>
      <c r="K254" s="2" t="s">
        <v>68</v>
      </c>
      <c r="L254" s="2" t="s">
        <v>4505</v>
      </c>
      <c r="M254" s="2" t="s">
        <v>4506</v>
      </c>
      <c r="N254" s="2" t="s">
        <v>4507</v>
      </c>
      <c r="O254" s="2" t="s">
        <v>2401</v>
      </c>
      <c r="P254" s="2" t="s">
        <v>4508</v>
      </c>
      <c r="Q254" s="2" t="s">
        <v>4509</v>
      </c>
      <c r="R254" s="2" t="s">
        <v>4510</v>
      </c>
      <c r="S254" s="2" t="s">
        <v>4511</v>
      </c>
      <c r="T254" s="2" t="s">
        <v>86</v>
      </c>
      <c r="U254" s="2" t="s">
        <v>86</v>
      </c>
      <c r="V254" s="2" t="s">
        <v>86</v>
      </c>
      <c r="W254" s="2" t="s">
        <v>80</v>
      </c>
      <c r="X254" s="4">
        <v>32</v>
      </c>
      <c r="Y254" s="4">
        <v>15</v>
      </c>
      <c r="Z254" s="4">
        <v>16</v>
      </c>
      <c r="AA254" s="4">
        <v>5</v>
      </c>
      <c r="AB254" s="4">
        <v>46</v>
      </c>
      <c r="AC254" s="2" t="s">
        <v>139</v>
      </c>
      <c r="AD254" s="2" t="s">
        <v>1355</v>
      </c>
      <c r="AE254" s="2" t="s">
        <v>4512</v>
      </c>
      <c r="AF254" s="2" t="s">
        <v>4513</v>
      </c>
      <c r="AG254" s="2" t="s">
        <v>4514</v>
      </c>
      <c r="AH254" s="2" t="s">
        <v>86</v>
      </c>
      <c r="AI254" s="2" t="s">
        <v>4515</v>
      </c>
      <c r="AJ254" s="2" t="s">
        <v>4516</v>
      </c>
      <c r="AK254" s="2" t="s">
        <v>366</v>
      </c>
      <c r="AL254" s="4">
        <v>2016</v>
      </c>
      <c r="AM254" s="4">
        <v>18</v>
      </c>
      <c r="AN254" s="4">
        <v>3</v>
      </c>
      <c r="AO254" s="2" t="s">
        <v>86</v>
      </c>
      <c r="AP254" s="2" t="s">
        <v>86</v>
      </c>
      <c r="AQ254" s="2" t="s">
        <v>86</v>
      </c>
      <c r="AR254" s="2" t="s">
        <v>86</v>
      </c>
      <c r="AS254" s="4">
        <v>915</v>
      </c>
      <c r="AT254" s="4">
        <v>924</v>
      </c>
      <c r="AU254" s="2" t="s">
        <v>86</v>
      </c>
      <c r="AV254" s="2" t="s">
        <v>86</v>
      </c>
      <c r="AW254" s="2" t="s">
        <v>86</v>
      </c>
      <c r="AX254" s="4">
        <v>10</v>
      </c>
      <c r="AY254" s="2" t="s">
        <v>392</v>
      </c>
      <c r="AZ254" s="2" t="s">
        <v>92</v>
      </c>
      <c r="BA254" s="2" t="s">
        <v>393</v>
      </c>
      <c r="BB254" s="2" t="s">
        <v>4517</v>
      </c>
      <c r="BC254" s="2" t="s">
        <v>86</v>
      </c>
      <c r="BD254" s="2" t="s">
        <v>86</v>
      </c>
      <c r="BE254" s="2" t="s">
        <v>86</v>
      </c>
      <c r="BF254" s="2" t="s">
        <v>86</v>
      </c>
      <c r="BG254" s="2" t="s">
        <v>95</v>
      </c>
      <c r="BH254" s="2" t="s">
        <v>4518</v>
      </c>
      <c r="BI254" s="2" t="str">
        <f>HYPERLINK("https%3A%2F%2Fwww.webofscience.com%2Fwos%2Fwoscc%2Ffull-record%2FWOS:000371631800024","View Full Record in Web of Science")</f>
        <v>View Full Record in Web of Science</v>
      </c>
    </row>
    <row r="255" spans="1:61" customFormat="1" ht="12.75" x14ac:dyDescent="0.2">
      <c r="A255" s="1">
        <v>252</v>
      </c>
      <c r="B255" s="1" t="s">
        <v>1068</v>
      </c>
      <c r="C255" s="1" t="s">
        <v>4519</v>
      </c>
      <c r="D255" s="2" t="s">
        <v>4520</v>
      </c>
      <c r="E255" s="2" t="s">
        <v>4521</v>
      </c>
      <c r="F255" s="3" t="str">
        <f>HYPERLINK("http://dx.doi.org/10.1016/j.nima.2019.163314","http://dx.doi.org/10.1016/j.nima.2019.163314")</f>
        <v>http://dx.doi.org/10.1016/j.nima.2019.163314</v>
      </c>
      <c r="G255" s="2" t="s">
        <v>200</v>
      </c>
      <c r="H255" s="2" t="s">
        <v>4522</v>
      </c>
      <c r="I255" s="2" t="s">
        <v>4523</v>
      </c>
      <c r="J255" s="2" t="s">
        <v>4524</v>
      </c>
      <c r="K255" s="2" t="s">
        <v>68</v>
      </c>
      <c r="L255" s="2" t="s">
        <v>4525</v>
      </c>
      <c r="M255" s="2" t="s">
        <v>4526</v>
      </c>
      <c r="N255" s="2" t="s">
        <v>4527</v>
      </c>
      <c r="O255" s="2" t="s">
        <v>4528</v>
      </c>
      <c r="P255" s="2" t="s">
        <v>4529</v>
      </c>
      <c r="Q255" s="2" t="s">
        <v>4530</v>
      </c>
      <c r="R255" s="2" t="s">
        <v>4531</v>
      </c>
      <c r="S255" s="2" t="s">
        <v>4532</v>
      </c>
      <c r="T255" s="2" t="s">
        <v>86</v>
      </c>
      <c r="U255" s="2" t="s">
        <v>86</v>
      </c>
      <c r="V255" s="2" t="s">
        <v>86</v>
      </c>
      <c r="W255" s="2" t="s">
        <v>80</v>
      </c>
      <c r="X255" s="4">
        <v>20</v>
      </c>
      <c r="Y255" s="4">
        <v>5</v>
      </c>
      <c r="Z255" s="4">
        <v>5</v>
      </c>
      <c r="AA255" s="4">
        <v>2</v>
      </c>
      <c r="AB255" s="4">
        <v>10</v>
      </c>
      <c r="AC255" s="2" t="s">
        <v>585</v>
      </c>
      <c r="AD255" s="2" t="s">
        <v>586</v>
      </c>
      <c r="AE255" s="2" t="s">
        <v>587</v>
      </c>
      <c r="AF255" s="2" t="s">
        <v>4533</v>
      </c>
      <c r="AG255" s="2" t="s">
        <v>4534</v>
      </c>
      <c r="AH255" s="2" t="s">
        <v>86</v>
      </c>
      <c r="AI255" s="2" t="s">
        <v>4535</v>
      </c>
      <c r="AJ255" s="2" t="s">
        <v>4536</v>
      </c>
      <c r="AK255" s="2" t="s">
        <v>4537</v>
      </c>
      <c r="AL255" s="4">
        <v>2020</v>
      </c>
      <c r="AM255" s="4">
        <v>955</v>
      </c>
      <c r="AN255" s="2" t="s">
        <v>86</v>
      </c>
      <c r="AO255" s="2" t="s">
        <v>86</v>
      </c>
      <c r="AP255" s="2" t="s">
        <v>86</v>
      </c>
      <c r="AQ255" s="2" t="s">
        <v>86</v>
      </c>
      <c r="AR255" s="2" t="s">
        <v>86</v>
      </c>
      <c r="AS255" s="2" t="s">
        <v>86</v>
      </c>
      <c r="AT255" s="2" t="s">
        <v>86</v>
      </c>
      <c r="AU255" s="4">
        <v>163314</v>
      </c>
      <c r="AV255" s="2" t="s">
        <v>86</v>
      </c>
      <c r="AW255" s="2" t="s">
        <v>86</v>
      </c>
      <c r="AX255" s="4">
        <v>6</v>
      </c>
      <c r="AY255" s="2" t="s">
        <v>4538</v>
      </c>
      <c r="AZ255" s="2" t="s">
        <v>92</v>
      </c>
      <c r="BA255" s="2" t="s">
        <v>4539</v>
      </c>
      <c r="BB255" s="2" t="s">
        <v>4540</v>
      </c>
      <c r="BC255" s="2" t="s">
        <v>86</v>
      </c>
      <c r="BD255" s="2" t="s">
        <v>497</v>
      </c>
      <c r="BE255" s="2" t="s">
        <v>86</v>
      </c>
      <c r="BF255" s="2" t="s">
        <v>86</v>
      </c>
      <c r="BG255" s="2" t="s">
        <v>95</v>
      </c>
      <c r="BH255" s="2" t="s">
        <v>4541</v>
      </c>
      <c r="BI255" s="2" t="str">
        <f>HYPERLINK("https%3A%2F%2Fwww.webofscience.com%2Fwos%2Fwoscc%2Ffull-record%2FWOS:000508940400027","View Full Record in Web of Science")</f>
        <v>View Full Record in Web of Science</v>
      </c>
    </row>
    <row r="256" spans="1:61" customFormat="1" ht="12.75" x14ac:dyDescent="0.2">
      <c r="A256" s="1">
        <v>253</v>
      </c>
      <c r="B256" s="1" t="s">
        <v>1068</v>
      </c>
      <c r="C256" s="1" t="s">
        <v>4542</v>
      </c>
      <c r="D256" s="2" t="s">
        <v>4543</v>
      </c>
      <c r="E256" s="2" t="s">
        <v>4544</v>
      </c>
      <c r="F256" s="3" t="str">
        <f>HYPERLINK("http://dx.doi.org/10.1016/j.nima.2019.02.055","http://dx.doi.org/10.1016/j.nima.2019.02.055")</f>
        <v>http://dx.doi.org/10.1016/j.nima.2019.02.055</v>
      </c>
      <c r="G256" s="2" t="s">
        <v>200</v>
      </c>
      <c r="H256" s="2" t="s">
        <v>4545</v>
      </c>
      <c r="I256" s="2" t="s">
        <v>4546</v>
      </c>
      <c r="J256" s="2" t="s">
        <v>4524</v>
      </c>
      <c r="K256" s="2" t="s">
        <v>68</v>
      </c>
      <c r="L256" s="2" t="s">
        <v>4547</v>
      </c>
      <c r="M256" s="2" t="s">
        <v>4548</v>
      </c>
      <c r="N256" s="2" t="s">
        <v>4549</v>
      </c>
      <c r="O256" s="2" t="s">
        <v>4550</v>
      </c>
      <c r="P256" s="2" t="s">
        <v>4551</v>
      </c>
      <c r="Q256" s="2" t="s">
        <v>4552</v>
      </c>
      <c r="R256" s="2" t="s">
        <v>4553</v>
      </c>
      <c r="S256" s="2" t="s">
        <v>4554</v>
      </c>
      <c r="T256" s="2" t="s">
        <v>86</v>
      </c>
      <c r="U256" s="2" t="s">
        <v>86</v>
      </c>
      <c r="V256" s="2" t="s">
        <v>86</v>
      </c>
      <c r="W256" s="2" t="s">
        <v>80</v>
      </c>
      <c r="X256" s="4">
        <v>18</v>
      </c>
      <c r="Y256" s="4">
        <v>2</v>
      </c>
      <c r="Z256" s="4">
        <v>2</v>
      </c>
      <c r="AA256" s="4">
        <v>1</v>
      </c>
      <c r="AB256" s="4">
        <v>6</v>
      </c>
      <c r="AC256" s="2" t="s">
        <v>4555</v>
      </c>
      <c r="AD256" s="2" t="s">
        <v>586</v>
      </c>
      <c r="AE256" s="2" t="s">
        <v>4556</v>
      </c>
      <c r="AF256" s="2" t="s">
        <v>4533</v>
      </c>
      <c r="AG256" s="2" t="s">
        <v>4534</v>
      </c>
      <c r="AH256" s="2" t="s">
        <v>86</v>
      </c>
      <c r="AI256" s="2" t="s">
        <v>4535</v>
      </c>
      <c r="AJ256" s="2" t="s">
        <v>4536</v>
      </c>
      <c r="AK256" s="2" t="s">
        <v>4557</v>
      </c>
      <c r="AL256" s="4">
        <v>2019</v>
      </c>
      <c r="AM256" s="4">
        <v>927</v>
      </c>
      <c r="AN256" s="2" t="s">
        <v>86</v>
      </c>
      <c r="AO256" s="2" t="s">
        <v>86</v>
      </c>
      <c r="AP256" s="2" t="s">
        <v>86</v>
      </c>
      <c r="AQ256" s="2" t="s">
        <v>86</v>
      </c>
      <c r="AR256" s="2" t="s">
        <v>86</v>
      </c>
      <c r="AS256" s="4">
        <v>353</v>
      </c>
      <c r="AT256" s="4">
        <v>361</v>
      </c>
      <c r="AU256" s="2" t="s">
        <v>86</v>
      </c>
      <c r="AV256" s="2" t="s">
        <v>86</v>
      </c>
      <c r="AW256" s="2" t="s">
        <v>86</v>
      </c>
      <c r="AX256" s="4">
        <v>9</v>
      </c>
      <c r="AY256" s="2" t="s">
        <v>4538</v>
      </c>
      <c r="AZ256" s="2" t="s">
        <v>92</v>
      </c>
      <c r="BA256" s="2" t="s">
        <v>4539</v>
      </c>
      <c r="BB256" s="2" t="s">
        <v>4558</v>
      </c>
      <c r="BC256" s="2" t="s">
        <v>86</v>
      </c>
      <c r="BD256" s="2" t="s">
        <v>497</v>
      </c>
      <c r="BE256" s="2" t="s">
        <v>86</v>
      </c>
      <c r="BF256" s="2" t="s">
        <v>86</v>
      </c>
      <c r="BG256" s="2" t="s">
        <v>95</v>
      </c>
      <c r="BH256" s="2" t="s">
        <v>4559</v>
      </c>
      <c r="BI256" s="2" t="str">
        <f>HYPERLINK("https%3A%2F%2Fwww.webofscience.com%2Fwos%2Fwoscc%2Ffull-record%2FWOS:000462142700047","View Full Record in Web of Science")</f>
        <v>View Full Record in Web of Science</v>
      </c>
    </row>
    <row r="257" spans="1:61" customFormat="1" ht="12.75" x14ac:dyDescent="0.2">
      <c r="A257" s="1">
        <v>254</v>
      </c>
      <c r="B257" s="1" t="s">
        <v>1068</v>
      </c>
      <c r="C257" s="1" t="s">
        <v>4560</v>
      </c>
      <c r="D257" s="2" t="s">
        <v>4561</v>
      </c>
      <c r="E257" s="2" t="s">
        <v>86</v>
      </c>
      <c r="F257" s="2" t="s">
        <v>86</v>
      </c>
      <c r="G257" s="2" t="s">
        <v>200</v>
      </c>
      <c r="H257" s="2" t="s">
        <v>4562</v>
      </c>
      <c r="I257" s="2" t="s">
        <v>4563</v>
      </c>
      <c r="J257" s="2" t="s">
        <v>4564</v>
      </c>
      <c r="K257" s="2" t="s">
        <v>68</v>
      </c>
      <c r="L257" s="2" t="s">
        <v>4565</v>
      </c>
      <c r="M257" s="2" t="s">
        <v>4566</v>
      </c>
      <c r="N257" s="2" t="s">
        <v>4567</v>
      </c>
      <c r="O257" s="2" t="s">
        <v>4568</v>
      </c>
      <c r="P257" s="2" t="s">
        <v>4569</v>
      </c>
      <c r="Q257" s="2" t="s">
        <v>4570</v>
      </c>
      <c r="R257" s="2" t="s">
        <v>4571</v>
      </c>
      <c r="S257" s="2" t="s">
        <v>4572</v>
      </c>
      <c r="T257" s="2" t="s">
        <v>2337</v>
      </c>
      <c r="U257" s="2" t="s">
        <v>1706</v>
      </c>
      <c r="V257" s="2" t="s">
        <v>4573</v>
      </c>
      <c r="W257" s="2" t="s">
        <v>80</v>
      </c>
      <c r="X257" s="4">
        <v>46</v>
      </c>
      <c r="Y257" s="4">
        <v>3</v>
      </c>
      <c r="Z257" s="4">
        <v>3</v>
      </c>
      <c r="AA257" s="4">
        <v>4</v>
      </c>
      <c r="AB257" s="4">
        <v>21</v>
      </c>
      <c r="AC257" s="2" t="s">
        <v>4574</v>
      </c>
      <c r="AD257" s="2" t="s">
        <v>4575</v>
      </c>
      <c r="AE257" s="2" t="s">
        <v>4576</v>
      </c>
      <c r="AF257" s="2" t="s">
        <v>4577</v>
      </c>
      <c r="AG257" s="2" t="s">
        <v>86</v>
      </c>
      <c r="AH257" s="2" t="s">
        <v>86</v>
      </c>
      <c r="AI257" s="2" t="s">
        <v>4578</v>
      </c>
      <c r="AJ257" s="2" t="s">
        <v>4579</v>
      </c>
      <c r="AK257" s="2" t="s">
        <v>873</v>
      </c>
      <c r="AL257" s="4">
        <v>2020</v>
      </c>
      <c r="AM257" s="4">
        <v>42</v>
      </c>
      <c r="AN257" s="4">
        <v>5</v>
      </c>
      <c r="AO257" s="2" t="s">
        <v>86</v>
      </c>
      <c r="AP257" s="2" t="s">
        <v>86</v>
      </c>
      <c r="AQ257" s="2" t="s">
        <v>86</v>
      </c>
      <c r="AR257" s="2" t="s">
        <v>86</v>
      </c>
      <c r="AS257" s="4">
        <v>789</v>
      </c>
      <c r="AT257" s="4">
        <v>797</v>
      </c>
      <c r="AU257" s="2" t="s">
        <v>86</v>
      </c>
      <c r="AV257" s="2" t="s">
        <v>86</v>
      </c>
      <c r="AW257" s="2" t="s">
        <v>86</v>
      </c>
      <c r="AX257" s="4">
        <v>9</v>
      </c>
      <c r="AY257" s="2" t="s">
        <v>4167</v>
      </c>
      <c r="AZ257" s="2" t="s">
        <v>92</v>
      </c>
      <c r="BA257" s="2" t="s">
        <v>901</v>
      </c>
      <c r="BB257" s="2" t="s">
        <v>4580</v>
      </c>
      <c r="BC257" s="2" t="s">
        <v>86</v>
      </c>
      <c r="BD257" s="2" t="s">
        <v>86</v>
      </c>
      <c r="BE257" s="2" t="s">
        <v>86</v>
      </c>
      <c r="BF257" s="2" t="s">
        <v>86</v>
      </c>
      <c r="BG257" s="2" t="s">
        <v>95</v>
      </c>
      <c r="BH257" s="2" t="s">
        <v>4581</v>
      </c>
      <c r="BI257" s="2" t="str">
        <f>HYPERLINK("https%3A%2F%2Fwww.webofscience.com%2Fwos%2Fwoscc%2Ffull-record%2FWOS:000581120200017","View Full Record in Web of Science")</f>
        <v>View Full Record in Web of Science</v>
      </c>
    </row>
    <row r="258" spans="1:61" customFormat="1" ht="12.75" x14ac:dyDescent="0.2">
      <c r="A258" s="1">
        <v>255</v>
      </c>
      <c r="B258" s="1" t="s">
        <v>1068</v>
      </c>
      <c r="C258" s="1" t="s">
        <v>4582</v>
      </c>
      <c r="D258" s="2" t="s">
        <v>4583</v>
      </c>
      <c r="E258" s="2" t="s">
        <v>4584</v>
      </c>
      <c r="F258" s="3" t="str">
        <f>HYPERLINK("http://dx.doi.org/10.1016/j.energy.2023.127374","http://dx.doi.org/10.1016/j.energy.2023.127374")</f>
        <v>http://dx.doi.org/10.1016/j.energy.2023.127374</v>
      </c>
      <c r="G258" s="2" t="s">
        <v>200</v>
      </c>
      <c r="H258" s="2" t="s">
        <v>4585</v>
      </c>
      <c r="I258" s="2" t="s">
        <v>4586</v>
      </c>
      <c r="J258" s="2" t="s">
        <v>4587</v>
      </c>
      <c r="K258" s="2" t="s">
        <v>68</v>
      </c>
      <c r="L258" s="2" t="s">
        <v>4588</v>
      </c>
      <c r="M258" s="2" t="s">
        <v>4589</v>
      </c>
      <c r="N258" s="2" t="s">
        <v>4590</v>
      </c>
      <c r="O258" s="2" t="s">
        <v>4591</v>
      </c>
      <c r="P258" s="2" t="s">
        <v>4592</v>
      </c>
      <c r="Q258" s="2" t="s">
        <v>4593</v>
      </c>
      <c r="R258" s="2" t="s">
        <v>86</v>
      </c>
      <c r="S258" s="2" t="s">
        <v>86</v>
      </c>
      <c r="T258" s="2" t="s">
        <v>86</v>
      </c>
      <c r="U258" s="2" t="s">
        <v>86</v>
      </c>
      <c r="V258" s="2" t="s">
        <v>86</v>
      </c>
      <c r="W258" s="2" t="s">
        <v>80</v>
      </c>
      <c r="X258" s="4">
        <v>53</v>
      </c>
      <c r="Y258" s="4">
        <v>0</v>
      </c>
      <c r="Z258" s="4">
        <v>0</v>
      </c>
      <c r="AA258" s="4">
        <v>0</v>
      </c>
      <c r="AB258" s="4">
        <v>0</v>
      </c>
      <c r="AC258" s="2" t="s">
        <v>237</v>
      </c>
      <c r="AD258" s="2" t="s">
        <v>115</v>
      </c>
      <c r="AE258" s="2" t="s">
        <v>238</v>
      </c>
      <c r="AF258" s="2" t="s">
        <v>4594</v>
      </c>
      <c r="AG258" s="2" t="s">
        <v>4595</v>
      </c>
      <c r="AH258" s="2" t="s">
        <v>86</v>
      </c>
      <c r="AI258" s="2" t="s">
        <v>4587</v>
      </c>
      <c r="AJ258" s="2" t="s">
        <v>4596</v>
      </c>
      <c r="AK258" s="2" t="s">
        <v>3628</v>
      </c>
      <c r="AL258" s="4">
        <v>2023</v>
      </c>
      <c r="AM258" s="4">
        <v>275</v>
      </c>
      <c r="AN258" s="2" t="s">
        <v>86</v>
      </c>
      <c r="AO258" s="2" t="s">
        <v>86</v>
      </c>
      <c r="AP258" s="2" t="s">
        <v>86</v>
      </c>
      <c r="AQ258" s="2" t="s">
        <v>86</v>
      </c>
      <c r="AR258" s="2" t="s">
        <v>86</v>
      </c>
      <c r="AS258" s="2" t="s">
        <v>86</v>
      </c>
      <c r="AT258" s="2" t="s">
        <v>86</v>
      </c>
      <c r="AU258" s="4">
        <v>127374</v>
      </c>
      <c r="AV258" s="2" t="s">
        <v>86</v>
      </c>
      <c r="AW258" s="2" t="s">
        <v>1046</v>
      </c>
      <c r="AX258" s="4">
        <v>10</v>
      </c>
      <c r="AY258" s="2" t="s">
        <v>4597</v>
      </c>
      <c r="AZ258" s="2" t="s">
        <v>92</v>
      </c>
      <c r="BA258" s="2" t="s">
        <v>4597</v>
      </c>
      <c r="BB258" s="2" t="s">
        <v>4598</v>
      </c>
      <c r="BC258" s="2" t="s">
        <v>86</v>
      </c>
      <c r="BD258" s="2" t="s">
        <v>86</v>
      </c>
      <c r="BE258" s="2" t="s">
        <v>86</v>
      </c>
      <c r="BF258" s="2" t="s">
        <v>86</v>
      </c>
      <c r="BG258" s="2" t="s">
        <v>95</v>
      </c>
      <c r="BH258" s="2" t="s">
        <v>4599</v>
      </c>
      <c r="BI258" s="2" t="str">
        <f>HYPERLINK("https%3A%2F%2Fwww.webofscience.com%2Fwos%2Fwoscc%2Ffull-record%2FWOS:000990613500001","View Full Record in Web of Science")</f>
        <v>View Full Record in Web of Science</v>
      </c>
    </row>
    <row r="259" spans="1:61" customFormat="1" ht="12.75" x14ac:dyDescent="0.2">
      <c r="A259" s="1">
        <v>256</v>
      </c>
      <c r="B259" s="1" t="s">
        <v>1068</v>
      </c>
      <c r="C259" s="1" t="s">
        <v>4600</v>
      </c>
      <c r="D259" s="2" t="s">
        <v>4601</v>
      </c>
      <c r="E259" s="2" t="s">
        <v>4602</v>
      </c>
      <c r="F259" s="3" t="str">
        <f>HYPERLINK("http://dx.doi.org/10.1039/c5ja00185d","http://dx.doi.org/10.1039/c5ja00185d")</f>
        <v>http://dx.doi.org/10.1039/c5ja00185d</v>
      </c>
      <c r="G259" s="2" t="s">
        <v>200</v>
      </c>
      <c r="H259" s="2" t="s">
        <v>4603</v>
      </c>
      <c r="I259" s="2" t="s">
        <v>4604</v>
      </c>
      <c r="J259" s="2" t="s">
        <v>4605</v>
      </c>
      <c r="K259" s="2" t="s">
        <v>68</v>
      </c>
      <c r="L259" s="2" t="s">
        <v>86</v>
      </c>
      <c r="M259" s="2" t="s">
        <v>4606</v>
      </c>
      <c r="N259" s="2" t="s">
        <v>4607</v>
      </c>
      <c r="O259" s="2" t="s">
        <v>3149</v>
      </c>
      <c r="P259" s="2" t="s">
        <v>4608</v>
      </c>
      <c r="Q259" s="2" t="s">
        <v>4609</v>
      </c>
      <c r="R259" s="2" t="s">
        <v>4610</v>
      </c>
      <c r="S259" s="2" t="s">
        <v>4611</v>
      </c>
      <c r="T259" s="2" t="s">
        <v>86</v>
      </c>
      <c r="U259" s="2" t="s">
        <v>86</v>
      </c>
      <c r="V259" s="2" t="s">
        <v>86</v>
      </c>
      <c r="W259" s="2" t="s">
        <v>80</v>
      </c>
      <c r="X259" s="4">
        <v>26</v>
      </c>
      <c r="Y259" s="4">
        <v>15</v>
      </c>
      <c r="Z259" s="4">
        <v>16</v>
      </c>
      <c r="AA259" s="4">
        <v>1</v>
      </c>
      <c r="AB259" s="4">
        <v>31</v>
      </c>
      <c r="AC259" s="2" t="s">
        <v>4612</v>
      </c>
      <c r="AD259" s="2" t="s">
        <v>4613</v>
      </c>
      <c r="AE259" s="2" t="s">
        <v>4614</v>
      </c>
      <c r="AF259" s="2" t="s">
        <v>4615</v>
      </c>
      <c r="AG259" s="2" t="s">
        <v>4616</v>
      </c>
      <c r="AH259" s="2" t="s">
        <v>86</v>
      </c>
      <c r="AI259" s="2" t="s">
        <v>4617</v>
      </c>
      <c r="AJ259" s="2" t="s">
        <v>4618</v>
      </c>
      <c r="AK259" s="2" t="s">
        <v>86</v>
      </c>
      <c r="AL259" s="4">
        <v>2015</v>
      </c>
      <c r="AM259" s="4">
        <v>30</v>
      </c>
      <c r="AN259" s="4">
        <v>8</v>
      </c>
      <c r="AO259" s="2" t="s">
        <v>86</v>
      </c>
      <c r="AP259" s="2" t="s">
        <v>86</v>
      </c>
      <c r="AQ259" s="2" t="s">
        <v>86</v>
      </c>
      <c r="AR259" s="2" t="s">
        <v>86</v>
      </c>
      <c r="AS259" s="4">
        <v>1782</v>
      </c>
      <c r="AT259" s="4">
        <v>1786</v>
      </c>
      <c r="AU259" s="2" t="s">
        <v>86</v>
      </c>
      <c r="AV259" s="2" t="s">
        <v>86</v>
      </c>
      <c r="AW259" s="2" t="s">
        <v>86</v>
      </c>
      <c r="AX259" s="4">
        <v>5</v>
      </c>
      <c r="AY259" s="2" t="s">
        <v>4619</v>
      </c>
      <c r="AZ259" s="2" t="s">
        <v>92</v>
      </c>
      <c r="BA259" s="2" t="s">
        <v>4620</v>
      </c>
      <c r="BB259" s="2" t="s">
        <v>4621</v>
      </c>
      <c r="BC259" s="2" t="s">
        <v>86</v>
      </c>
      <c r="BD259" s="2" t="s">
        <v>86</v>
      </c>
      <c r="BE259" s="2" t="s">
        <v>86</v>
      </c>
      <c r="BF259" s="2" t="s">
        <v>86</v>
      </c>
      <c r="BG259" s="2" t="s">
        <v>95</v>
      </c>
      <c r="BH259" s="2" t="s">
        <v>4622</v>
      </c>
      <c r="BI259" s="2" t="str">
        <f>HYPERLINK("https%3A%2F%2Fwww.webofscience.com%2Fwos%2Fwoscc%2Ffull-record%2FWOS:000358500800010","View Full Record in Web of Science")</f>
        <v>View Full Record in Web of Science</v>
      </c>
    </row>
    <row r="260" spans="1:61" customFormat="1" ht="12.75" x14ac:dyDescent="0.2">
      <c r="A260" s="1">
        <v>257</v>
      </c>
      <c r="B260" s="1" t="s">
        <v>1068</v>
      </c>
      <c r="C260" s="1" t="s">
        <v>4623</v>
      </c>
      <c r="D260" s="2" t="s">
        <v>4624</v>
      </c>
      <c r="E260" s="2" t="s">
        <v>4625</v>
      </c>
      <c r="F260" s="3" t="str">
        <f>HYPERLINK("http://dx.doi.org/10.1016/j.energy.2022.126140","http://dx.doi.org/10.1016/j.energy.2022.126140")</f>
        <v>http://dx.doi.org/10.1016/j.energy.2022.126140</v>
      </c>
      <c r="G260" s="2" t="s">
        <v>200</v>
      </c>
      <c r="H260" s="2" t="s">
        <v>4626</v>
      </c>
      <c r="I260" s="2" t="s">
        <v>4627</v>
      </c>
      <c r="J260" s="2" t="s">
        <v>4587</v>
      </c>
      <c r="K260" s="2" t="s">
        <v>68</v>
      </c>
      <c r="L260" s="2" t="s">
        <v>4628</v>
      </c>
      <c r="M260" s="2" t="s">
        <v>4629</v>
      </c>
      <c r="N260" s="2" t="s">
        <v>4630</v>
      </c>
      <c r="O260" s="2" t="s">
        <v>4631</v>
      </c>
      <c r="P260" s="2" t="s">
        <v>4632</v>
      </c>
      <c r="Q260" s="2" t="s">
        <v>4633</v>
      </c>
      <c r="R260" s="2" t="s">
        <v>4634</v>
      </c>
      <c r="S260" s="2" t="s">
        <v>4635</v>
      </c>
      <c r="T260" s="2" t="s">
        <v>86</v>
      </c>
      <c r="U260" s="2" t="s">
        <v>86</v>
      </c>
      <c r="V260" s="2" t="s">
        <v>86</v>
      </c>
      <c r="W260" s="2" t="s">
        <v>80</v>
      </c>
      <c r="X260" s="4">
        <v>54</v>
      </c>
      <c r="Y260" s="4">
        <v>2</v>
      </c>
      <c r="Z260" s="4">
        <v>2</v>
      </c>
      <c r="AA260" s="4">
        <v>9</v>
      </c>
      <c r="AB260" s="4">
        <v>9</v>
      </c>
      <c r="AC260" s="2" t="s">
        <v>237</v>
      </c>
      <c r="AD260" s="2" t="s">
        <v>115</v>
      </c>
      <c r="AE260" s="2" t="s">
        <v>238</v>
      </c>
      <c r="AF260" s="2" t="s">
        <v>4594</v>
      </c>
      <c r="AG260" s="2" t="s">
        <v>4595</v>
      </c>
      <c r="AH260" s="2" t="s">
        <v>86</v>
      </c>
      <c r="AI260" s="2" t="s">
        <v>4587</v>
      </c>
      <c r="AJ260" s="2" t="s">
        <v>4596</v>
      </c>
      <c r="AK260" s="2" t="s">
        <v>4636</v>
      </c>
      <c r="AL260" s="4">
        <v>2023</v>
      </c>
      <c r="AM260" s="4">
        <v>265</v>
      </c>
      <c r="AN260" s="2" t="s">
        <v>86</v>
      </c>
      <c r="AO260" s="2" t="s">
        <v>86</v>
      </c>
      <c r="AP260" s="2" t="s">
        <v>86</v>
      </c>
      <c r="AQ260" s="2" t="s">
        <v>86</v>
      </c>
      <c r="AR260" s="2" t="s">
        <v>86</v>
      </c>
      <c r="AS260" s="2" t="s">
        <v>86</v>
      </c>
      <c r="AT260" s="2" t="s">
        <v>86</v>
      </c>
      <c r="AU260" s="4">
        <v>126140</v>
      </c>
      <c r="AV260" s="2" t="s">
        <v>86</v>
      </c>
      <c r="AW260" s="2" t="s">
        <v>391</v>
      </c>
      <c r="AX260" s="4">
        <v>13</v>
      </c>
      <c r="AY260" s="2" t="s">
        <v>4597</v>
      </c>
      <c r="AZ260" s="2" t="s">
        <v>92</v>
      </c>
      <c r="BA260" s="2" t="s">
        <v>4597</v>
      </c>
      <c r="BB260" s="2" t="s">
        <v>4637</v>
      </c>
      <c r="BC260" s="2" t="s">
        <v>86</v>
      </c>
      <c r="BD260" s="2" t="s">
        <v>86</v>
      </c>
      <c r="BE260" s="2" t="s">
        <v>86</v>
      </c>
      <c r="BF260" s="2" t="s">
        <v>86</v>
      </c>
      <c r="BG260" s="2" t="s">
        <v>95</v>
      </c>
      <c r="BH260" s="2" t="s">
        <v>4638</v>
      </c>
      <c r="BI260" s="2" t="str">
        <f>HYPERLINK("https%3A%2F%2Fwww.webofscience.com%2Fwos%2Fwoscc%2Ffull-record%2FWOS:000918335800002","View Full Record in Web of Science")</f>
        <v>View Full Record in Web of Science</v>
      </c>
    </row>
    <row r="261" spans="1:61" customFormat="1" ht="12.75" x14ac:dyDescent="0.2">
      <c r="A261" s="1">
        <v>258</v>
      </c>
      <c r="B261" s="1" t="s">
        <v>1068</v>
      </c>
      <c r="C261" s="1" t="s">
        <v>4639</v>
      </c>
      <c r="D261" s="2" t="s">
        <v>4640</v>
      </c>
      <c r="E261" s="2" t="s">
        <v>4641</v>
      </c>
      <c r="F261" s="3" t="str">
        <f>HYPERLINK("http://dx.doi.org/10.1016/j.matlet.2020.127871","http://dx.doi.org/10.1016/j.matlet.2020.127871")</f>
        <v>http://dx.doi.org/10.1016/j.matlet.2020.127871</v>
      </c>
      <c r="G261" s="2" t="s">
        <v>200</v>
      </c>
      <c r="H261" s="2" t="s">
        <v>4642</v>
      </c>
      <c r="I261" s="2" t="s">
        <v>4643</v>
      </c>
      <c r="J261" s="2" t="s">
        <v>4644</v>
      </c>
      <c r="K261" s="2" t="s">
        <v>68</v>
      </c>
      <c r="L261" s="2" t="s">
        <v>4645</v>
      </c>
      <c r="M261" s="2" t="s">
        <v>4646</v>
      </c>
      <c r="N261" s="2" t="s">
        <v>4647</v>
      </c>
      <c r="O261" s="2" t="s">
        <v>4648</v>
      </c>
      <c r="P261" s="2" t="s">
        <v>4649</v>
      </c>
      <c r="Q261" s="2" t="s">
        <v>86</v>
      </c>
      <c r="R261" s="2" t="s">
        <v>86</v>
      </c>
      <c r="S261" s="2" t="s">
        <v>4650</v>
      </c>
      <c r="T261" s="2" t="s">
        <v>86</v>
      </c>
      <c r="U261" s="2" t="s">
        <v>86</v>
      </c>
      <c r="V261" s="2" t="s">
        <v>86</v>
      </c>
      <c r="W261" s="2" t="s">
        <v>80</v>
      </c>
      <c r="X261" s="4">
        <v>16</v>
      </c>
      <c r="Y261" s="4">
        <v>0</v>
      </c>
      <c r="Z261" s="4">
        <v>0</v>
      </c>
      <c r="AA261" s="4">
        <v>0</v>
      </c>
      <c r="AB261" s="4">
        <v>6</v>
      </c>
      <c r="AC261" s="2" t="s">
        <v>585</v>
      </c>
      <c r="AD261" s="2" t="s">
        <v>586</v>
      </c>
      <c r="AE261" s="2" t="s">
        <v>587</v>
      </c>
      <c r="AF261" s="2" t="s">
        <v>4651</v>
      </c>
      <c r="AG261" s="2" t="s">
        <v>4652</v>
      </c>
      <c r="AH261" s="2" t="s">
        <v>86</v>
      </c>
      <c r="AI261" s="2" t="s">
        <v>4653</v>
      </c>
      <c r="AJ261" s="2" t="s">
        <v>4654</v>
      </c>
      <c r="AK261" s="2" t="s">
        <v>2684</v>
      </c>
      <c r="AL261" s="4">
        <v>2020</v>
      </c>
      <c r="AM261" s="4">
        <v>273</v>
      </c>
      <c r="AN261" s="2" t="s">
        <v>86</v>
      </c>
      <c r="AO261" s="2" t="s">
        <v>86</v>
      </c>
      <c r="AP261" s="2" t="s">
        <v>86</v>
      </c>
      <c r="AQ261" s="2" t="s">
        <v>86</v>
      </c>
      <c r="AR261" s="2" t="s">
        <v>86</v>
      </c>
      <c r="AS261" s="2" t="s">
        <v>86</v>
      </c>
      <c r="AT261" s="2" t="s">
        <v>86</v>
      </c>
      <c r="AU261" s="4">
        <v>127871</v>
      </c>
      <c r="AV261" s="2" t="s">
        <v>86</v>
      </c>
      <c r="AW261" s="2" t="s">
        <v>86</v>
      </c>
      <c r="AX261" s="4">
        <v>4</v>
      </c>
      <c r="AY261" s="2" t="s">
        <v>4655</v>
      </c>
      <c r="AZ261" s="2" t="s">
        <v>92</v>
      </c>
      <c r="BA261" s="2" t="s">
        <v>4656</v>
      </c>
      <c r="BB261" s="2" t="s">
        <v>4657</v>
      </c>
      <c r="BC261" s="2" t="s">
        <v>86</v>
      </c>
      <c r="BD261" s="2" t="s">
        <v>86</v>
      </c>
      <c r="BE261" s="2" t="s">
        <v>86</v>
      </c>
      <c r="BF261" s="2" t="s">
        <v>86</v>
      </c>
      <c r="BG261" s="2" t="s">
        <v>95</v>
      </c>
      <c r="BH261" s="2" t="s">
        <v>4658</v>
      </c>
      <c r="BI261" s="2" t="str">
        <f>HYPERLINK("https%3A%2F%2Fwww.webofscience.com%2Fwos%2Fwoscc%2Ffull-record%2FWOS:000538775600017","View Full Record in Web of Science")</f>
        <v>View Full Record in Web of Science</v>
      </c>
    </row>
    <row r="262" spans="1:61" customFormat="1" ht="12.75" x14ac:dyDescent="0.2">
      <c r="A262" s="1">
        <v>259</v>
      </c>
      <c r="B262" s="1" t="s">
        <v>1068</v>
      </c>
      <c r="C262" s="1" t="s">
        <v>4659</v>
      </c>
      <c r="D262" s="2" t="s">
        <v>4660</v>
      </c>
      <c r="E262" s="2" t="s">
        <v>86</v>
      </c>
      <c r="F262" s="2" t="s">
        <v>86</v>
      </c>
      <c r="G262" s="2" t="s">
        <v>200</v>
      </c>
      <c r="H262" s="2" t="s">
        <v>4661</v>
      </c>
      <c r="I262" s="2" t="s">
        <v>4662</v>
      </c>
      <c r="J262" s="2" t="s">
        <v>1918</v>
      </c>
      <c r="K262" s="2" t="s">
        <v>68</v>
      </c>
      <c r="L262" s="2" t="s">
        <v>4663</v>
      </c>
      <c r="M262" s="2" t="s">
        <v>4664</v>
      </c>
      <c r="N262" s="2" t="s">
        <v>4665</v>
      </c>
      <c r="O262" s="2" t="s">
        <v>4666</v>
      </c>
      <c r="P262" s="2" t="s">
        <v>4667</v>
      </c>
      <c r="Q262" s="2" t="s">
        <v>4668</v>
      </c>
      <c r="R262" s="2" t="s">
        <v>86</v>
      </c>
      <c r="S262" s="2" t="s">
        <v>86</v>
      </c>
      <c r="T262" s="2" t="s">
        <v>4669</v>
      </c>
      <c r="U262" s="2" t="s">
        <v>4670</v>
      </c>
      <c r="V262" s="2" t="s">
        <v>4671</v>
      </c>
      <c r="W262" s="2" t="s">
        <v>80</v>
      </c>
      <c r="X262" s="4">
        <v>19</v>
      </c>
      <c r="Y262" s="4">
        <v>3</v>
      </c>
      <c r="Z262" s="4">
        <v>5</v>
      </c>
      <c r="AA262" s="4">
        <v>0</v>
      </c>
      <c r="AB262" s="4">
        <v>7</v>
      </c>
      <c r="AC262" s="2" t="s">
        <v>1927</v>
      </c>
      <c r="AD262" s="2" t="s">
        <v>1928</v>
      </c>
      <c r="AE262" s="2" t="s">
        <v>1929</v>
      </c>
      <c r="AF262" s="2" t="s">
        <v>1930</v>
      </c>
      <c r="AG262" s="2" t="s">
        <v>1931</v>
      </c>
      <c r="AH262" s="2" t="s">
        <v>86</v>
      </c>
      <c r="AI262" s="2" t="s">
        <v>1932</v>
      </c>
      <c r="AJ262" s="2" t="s">
        <v>1933</v>
      </c>
      <c r="AK262" s="2" t="s">
        <v>86</v>
      </c>
      <c r="AL262" s="4">
        <v>2018</v>
      </c>
      <c r="AM262" s="4">
        <v>27</v>
      </c>
      <c r="AN262" s="4">
        <v>4</v>
      </c>
      <c r="AO262" s="2" t="s">
        <v>86</v>
      </c>
      <c r="AP262" s="2" t="s">
        <v>86</v>
      </c>
      <c r="AQ262" s="2" t="s">
        <v>86</v>
      </c>
      <c r="AR262" s="2" t="s">
        <v>86</v>
      </c>
      <c r="AS262" s="4">
        <v>2510</v>
      </c>
      <c r="AT262" s="4">
        <v>2517</v>
      </c>
      <c r="AU262" s="2" t="s">
        <v>86</v>
      </c>
      <c r="AV262" s="2" t="s">
        <v>86</v>
      </c>
      <c r="AW262" s="2" t="s">
        <v>86</v>
      </c>
      <c r="AX262" s="4">
        <v>8</v>
      </c>
      <c r="AY262" s="2" t="s">
        <v>91</v>
      </c>
      <c r="AZ262" s="2" t="s">
        <v>92</v>
      </c>
      <c r="BA262" s="2" t="s">
        <v>93</v>
      </c>
      <c r="BB262" s="2" t="s">
        <v>4672</v>
      </c>
      <c r="BC262" s="2" t="s">
        <v>86</v>
      </c>
      <c r="BD262" s="2" t="s">
        <v>86</v>
      </c>
      <c r="BE262" s="2" t="s">
        <v>86</v>
      </c>
      <c r="BF262" s="2" t="s">
        <v>86</v>
      </c>
      <c r="BG262" s="2" t="s">
        <v>95</v>
      </c>
      <c r="BH262" s="2" t="s">
        <v>4673</v>
      </c>
      <c r="BI262" s="2" t="str">
        <f>HYPERLINK("https%3A%2F%2Fwww.webofscience.com%2Fwos%2Fwoscc%2Ffull-record%2FWOS:000430372900067","View Full Record in Web of Science")</f>
        <v>View Full Record in Web of Science</v>
      </c>
    </row>
    <row r="263" spans="1:61" customFormat="1" ht="12.75" x14ac:dyDescent="0.2">
      <c r="A263" s="1">
        <v>260</v>
      </c>
      <c r="B263" s="1" t="s">
        <v>1068</v>
      </c>
      <c r="C263" s="1" t="s">
        <v>4674</v>
      </c>
      <c r="D263" s="2" t="s">
        <v>4675</v>
      </c>
      <c r="E263" s="2" t="s">
        <v>4676</v>
      </c>
      <c r="F263" s="3" t="str">
        <f>HYPERLINK("http://dx.doi.org/10.1007/s10064-019-01720-x","http://dx.doi.org/10.1007/s10064-019-01720-x")</f>
        <v>http://dx.doi.org/10.1007/s10064-019-01720-x</v>
      </c>
      <c r="G263" s="2" t="s">
        <v>200</v>
      </c>
      <c r="H263" s="2" t="s">
        <v>4677</v>
      </c>
      <c r="I263" s="2" t="s">
        <v>4678</v>
      </c>
      <c r="J263" s="2" t="s">
        <v>4679</v>
      </c>
      <c r="K263" s="2" t="s">
        <v>68</v>
      </c>
      <c r="L263" s="2" t="s">
        <v>4680</v>
      </c>
      <c r="M263" s="2" t="s">
        <v>4681</v>
      </c>
      <c r="N263" s="2" t="s">
        <v>4682</v>
      </c>
      <c r="O263" s="2" t="s">
        <v>580</v>
      </c>
      <c r="P263" s="2" t="s">
        <v>4683</v>
      </c>
      <c r="Q263" s="2" t="s">
        <v>4684</v>
      </c>
      <c r="R263" s="2" t="s">
        <v>4685</v>
      </c>
      <c r="S263" s="2" t="s">
        <v>4686</v>
      </c>
      <c r="T263" s="2" t="s">
        <v>4687</v>
      </c>
      <c r="U263" s="2" t="s">
        <v>4688</v>
      </c>
      <c r="V263" s="2" t="s">
        <v>4689</v>
      </c>
      <c r="W263" s="2" t="s">
        <v>80</v>
      </c>
      <c r="X263" s="4">
        <v>38</v>
      </c>
      <c r="Y263" s="4">
        <v>2</v>
      </c>
      <c r="Z263" s="4">
        <v>2</v>
      </c>
      <c r="AA263" s="4">
        <v>1</v>
      </c>
      <c r="AB263" s="4">
        <v>8</v>
      </c>
      <c r="AC263" s="2" t="s">
        <v>81</v>
      </c>
      <c r="AD263" s="2" t="s">
        <v>82</v>
      </c>
      <c r="AE263" s="2" t="s">
        <v>83</v>
      </c>
      <c r="AF263" s="2" t="s">
        <v>4690</v>
      </c>
      <c r="AG263" s="2" t="s">
        <v>4691</v>
      </c>
      <c r="AH263" s="2" t="s">
        <v>86</v>
      </c>
      <c r="AI263" s="2" t="s">
        <v>4692</v>
      </c>
      <c r="AJ263" s="2" t="s">
        <v>4693</v>
      </c>
      <c r="AK263" s="2" t="s">
        <v>636</v>
      </c>
      <c r="AL263" s="4">
        <v>2020</v>
      </c>
      <c r="AM263" s="4">
        <v>79</v>
      </c>
      <c r="AN263" s="4">
        <v>6</v>
      </c>
      <c r="AO263" s="2" t="s">
        <v>86</v>
      </c>
      <c r="AP263" s="2" t="s">
        <v>86</v>
      </c>
      <c r="AQ263" s="2" t="s">
        <v>86</v>
      </c>
      <c r="AR263" s="2" t="s">
        <v>86</v>
      </c>
      <c r="AS263" s="4">
        <v>3195</v>
      </c>
      <c r="AT263" s="4">
        <v>3205</v>
      </c>
      <c r="AU263" s="2" t="s">
        <v>86</v>
      </c>
      <c r="AV263" s="2" t="s">
        <v>86</v>
      </c>
      <c r="AW263" s="2" t="s">
        <v>4694</v>
      </c>
      <c r="AX263" s="4">
        <v>11</v>
      </c>
      <c r="AY263" s="2" t="s">
        <v>4695</v>
      </c>
      <c r="AZ263" s="2" t="s">
        <v>92</v>
      </c>
      <c r="BA263" s="2" t="s">
        <v>4696</v>
      </c>
      <c r="BB263" s="2" t="s">
        <v>4697</v>
      </c>
      <c r="BC263" s="2" t="s">
        <v>86</v>
      </c>
      <c r="BD263" s="2" t="s">
        <v>86</v>
      </c>
      <c r="BE263" s="2" t="s">
        <v>86</v>
      </c>
      <c r="BF263" s="2" t="s">
        <v>86</v>
      </c>
      <c r="BG263" s="2" t="s">
        <v>95</v>
      </c>
      <c r="BH263" s="2" t="s">
        <v>4698</v>
      </c>
      <c r="BI263" s="2" t="str">
        <f>HYPERLINK("https%3A%2F%2Fwww.webofscience.com%2Fwos%2Fwoscc%2Ffull-record%2FWOS:000510370300001","View Full Record in Web of Science")</f>
        <v>View Full Record in Web of Science</v>
      </c>
    </row>
    <row r="264" spans="1:61" customFormat="1" ht="12.75" x14ac:dyDescent="0.2">
      <c r="A264" s="1">
        <v>261</v>
      </c>
      <c r="B264" s="1" t="s">
        <v>1068</v>
      </c>
      <c r="C264" s="1" t="s">
        <v>4699</v>
      </c>
      <c r="D264" s="2" t="s">
        <v>4700</v>
      </c>
      <c r="E264" s="2" t="s">
        <v>4701</v>
      </c>
      <c r="F264" s="3" t="str">
        <f>HYPERLINK("http://dx.doi.org/10.5194/aab-64-1-2021","http://dx.doi.org/10.5194/aab-64-1-2021")</f>
        <v>http://dx.doi.org/10.5194/aab-64-1-2021</v>
      </c>
      <c r="G264" s="2" t="s">
        <v>200</v>
      </c>
      <c r="H264" s="2" t="s">
        <v>4702</v>
      </c>
      <c r="I264" s="2" t="s">
        <v>4703</v>
      </c>
      <c r="J264" s="2" t="s">
        <v>4704</v>
      </c>
      <c r="K264" s="2" t="s">
        <v>68</v>
      </c>
      <c r="L264" s="2" t="s">
        <v>86</v>
      </c>
      <c r="M264" s="2" t="s">
        <v>4705</v>
      </c>
      <c r="N264" s="2" t="s">
        <v>4706</v>
      </c>
      <c r="O264" s="2" t="s">
        <v>4707</v>
      </c>
      <c r="P264" s="2" t="s">
        <v>4708</v>
      </c>
      <c r="Q264" s="2" t="s">
        <v>4709</v>
      </c>
      <c r="R264" s="2" t="s">
        <v>86</v>
      </c>
      <c r="S264" s="2" t="s">
        <v>86</v>
      </c>
      <c r="T264" s="2" t="s">
        <v>86</v>
      </c>
      <c r="U264" s="2" t="s">
        <v>86</v>
      </c>
      <c r="V264" s="2" t="s">
        <v>86</v>
      </c>
      <c r="W264" s="2" t="s">
        <v>80</v>
      </c>
      <c r="X264" s="4">
        <v>32</v>
      </c>
      <c r="Y264" s="4">
        <v>2</v>
      </c>
      <c r="Z264" s="4">
        <v>2</v>
      </c>
      <c r="AA264" s="4">
        <v>1</v>
      </c>
      <c r="AB264" s="4">
        <v>7</v>
      </c>
      <c r="AC264" s="2" t="s">
        <v>4710</v>
      </c>
      <c r="AD264" s="2" t="s">
        <v>4711</v>
      </c>
      <c r="AE264" s="2" t="s">
        <v>4712</v>
      </c>
      <c r="AF264" s="2" t="s">
        <v>4713</v>
      </c>
      <c r="AG264" s="2" t="s">
        <v>4714</v>
      </c>
      <c r="AH264" s="2" t="s">
        <v>86</v>
      </c>
      <c r="AI264" s="2" t="s">
        <v>4715</v>
      </c>
      <c r="AJ264" s="2" t="s">
        <v>4716</v>
      </c>
      <c r="AK264" s="2" t="s">
        <v>4717</v>
      </c>
      <c r="AL264" s="4">
        <v>2021</v>
      </c>
      <c r="AM264" s="4">
        <v>64</v>
      </c>
      <c r="AN264" s="4">
        <v>1</v>
      </c>
      <c r="AO264" s="2" t="s">
        <v>86</v>
      </c>
      <c r="AP264" s="2" t="s">
        <v>86</v>
      </c>
      <c r="AQ264" s="2" t="s">
        <v>86</v>
      </c>
      <c r="AR264" s="2" t="s">
        <v>86</v>
      </c>
      <c r="AS264" s="4">
        <v>1</v>
      </c>
      <c r="AT264" s="4">
        <v>6</v>
      </c>
      <c r="AU264" s="2" t="s">
        <v>86</v>
      </c>
      <c r="AV264" s="2" t="s">
        <v>86</v>
      </c>
      <c r="AW264" s="2" t="s">
        <v>86</v>
      </c>
      <c r="AX264" s="4">
        <v>6</v>
      </c>
      <c r="AY264" s="2" t="s">
        <v>4718</v>
      </c>
      <c r="AZ264" s="2" t="s">
        <v>92</v>
      </c>
      <c r="BA264" s="2" t="s">
        <v>4719</v>
      </c>
      <c r="BB264" s="2" t="s">
        <v>4720</v>
      </c>
      <c r="BC264" s="4">
        <v>34084898</v>
      </c>
      <c r="BD264" s="2" t="s">
        <v>220</v>
      </c>
      <c r="BE264" s="2" t="s">
        <v>86</v>
      </c>
      <c r="BF264" s="2" t="s">
        <v>86</v>
      </c>
      <c r="BG264" s="2" t="s">
        <v>95</v>
      </c>
      <c r="BH264" s="2" t="s">
        <v>4721</v>
      </c>
      <c r="BI264" s="2" t="str">
        <f>HYPERLINK("https%3A%2F%2Fwww.webofscience.com%2Fwos%2Fwoscc%2Ffull-record%2FWOS:000606734700001","View Full Record in Web of Science")</f>
        <v>View Full Record in Web of Science</v>
      </c>
    </row>
    <row r="265" spans="1:61" customFormat="1" ht="12.75" x14ac:dyDescent="0.2">
      <c r="A265" s="1">
        <v>262</v>
      </c>
      <c r="B265" s="1" t="s">
        <v>1068</v>
      </c>
      <c r="C265" s="1" t="s">
        <v>4722</v>
      </c>
      <c r="D265" s="2" t="s">
        <v>4723</v>
      </c>
      <c r="E265" s="2" t="s">
        <v>4724</v>
      </c>
      <c r="F265" s="3" t="str">
        <f>HYPERLINK("http://dx.doi.org/10.1016/j.fct.2010.10.017","http://dx.doi.org/10.1016/j.fct.2010.10.017")</f>
        <v>http://dx.doi.org/10.1016/j.fct.2010.10.017</v>
      </c>
      <c r="G265" s="2" t="s">
        <v>200</v>
      </c>
      <c r="H265" s="2" t="s">
        <v>4725</v>
      </c>
      <c r="I265" s="2" t="s">
        <v>4726</v>
      </c>
      <c r="J265" s="2" t="s">
        <v>1207</v>
      </c>
      <c r="K265" s="2" t="s">
        <v>68</v>
      </c>
      <c r="L265" s="2" t="s">
        <v>4727</v>
      </c>
      <c r="M265" s="2" t="s">
        <v>4728</v>
      </c>
      <c r="N265" s="2" t="s">
        <v>4729</v>
      </c>
      <c r="O265" s="2" t="s">
        <v>4730</v>
      </c>
      <c r="P265" s="2" t="s">
        <v>4731</v>
      </c>
      <c r="Q265" s="2" t="s">
        <v>4732</v>
      </c>
      <c r="R265" s="2" t="s">
        <v>4733</v>
      </c>
      <c r="S265" s="2" t="s">
        <v>4734</v>
      </c>
      <c r="T265" s="2" t="s">
        <v>86</v>
      </c>
      <c r="U265" s="2" t="s">
        <v>86</v>
      </c>
      <c r="V265" s="2" t="s">
        <v>86</v>
      </c>
      <c r="W265" s="2" t="s">
        <v>80</v>
      </c>
      <c r="X265" s="4">
        <v>36</v>
      </c>
      <c r="Y265" s="4">
        <v>82</v>
      </c>
      <c r="Z265" s="4">
        <v>88</v>
      </c>
      <c r="AA265" s="4">
        <v>6</v>
      </c>
      <c r="AB265" s="4">
        <v>84</v>
      </c>
      <c r="AC265" s="2" t="s">
        <v>237</v>
      </c>
      <c r="AD265" s="2" t="s">
        <v>115</v>
      </c>
      <c r="AE265" s="2" t="s">
        <v>238</v>
      </c>
      <c r="AF265" s="2" t="s">
        <v>1216</v>
      </c>
      <c r="AG265" s="2" t="s">
        <v>1217</v>
      </c>
      <c r="AH265" s="2" t="s">
        <v>86</v>
      </c>
      <c r="AI265" s="2" t="s">
        <v>1218</v>
      </c>
      <c r="AJ265" s="2" t="s">
        <v>1219</v>
      </c>
      <c r="AK265" s="2" t="s">
        <v>534</v>
      </c>
      <c r="AL265" s="4">
        <v>2011</v>
      </c>
      <c r="AM265" s="4">
        <v>49</v>
      </c>
      <c r="AN265" s="4">
        <v>1</v>
      </c>
      <c r="AO265" s="2" t="s">
        <v>86</v>
      </c>
      <c r="AP265" s="2" t="s">
        <v>86</v>
      </c>
      <c r="AQ265" s="2" t="s">
        <v>86</v>
      </c>
      <c r="AR265" s="2" t="s">
        <v>86</v>
      </c>
      <c r="AS265" s="4">
        <v>202</v>
      </c>
      <c r="AT265" s="4">
        <v>207</v>
      </c>
      <c r="AU265" s="2" t="s">
        <v>86</v>
      </c>
      <c r="AV265" s="2" t="s">
        <v>86</v>
      </c>
      <c r="AW265" s="2" t="s">
        <v>86</v>
      </c>
      <c r="AX265" s="4">
        <v>6</v>
      </c>
      <c r="AY265" s="2" t="s">
        <v>1222</v>
      </c>
      <c r="AZ265" s="2" t="s">
        <v>92</v>
      </c>
      <c r="BA265" s="2" t="s">
        <v>1222</v>
      </c>
      <c r="BB265" s="2" t="s">
        <v>4735</v>
      </c>
      <c r="BC265" s="4">
        <v>20965225</v>
      </c>
      <c r="BD265" s="2" t="s">
        <v>86</v>
      </c>
      <c r="BE265" s="2" t="s">
        <v>86</v>
      </c>
      <c r="BF265" s="2" t="s">
        <v>86</v>
      </c>
      <c r="BG265" s="2" t="s">
        <v>95</v>
      </c>
      <c r="BH265" s="2" t="s">
        <v>4736</v>
      </c>
      <c r="BI265" s="2" t="str">
        <f>HYPERLINK("https%3A%2F%2Fwww.webofscience.com%2Fwos%2Fwoscc%2Ffull-record%2FWOS:000287056500028","View Full Record in Web of Science")</f>
        <v>View Full Record in Web of Science</v>
      </c>
    </row>
    <row r="266" spans="1:61" customFormat="1" ht="12.75" x14ac:dyDescent="0.2">
      <c r="A266" s="1">
        <v>263</v>
      </c>
      <c r="B266" s="1" t="s">
        <v>1068</v>
      </c>
      <c r="C266" s="1" t="s">
        <v>4737</v>
      </c>
      <c r="D266" s="2" t="s">
        <v>4738</v>
      </c>
      <c r="E266" s="2" t="s">
        <v>4739</v>
      </c>
      <c r="F266" s="3" t="str">
        <f>HYPERLINK("http://dx.doi.org/10.1007/s11270-022-05626-5","http://dx.doi.org/10.1007/s11270-022-05626-5")</f>
        <v>http://dx.doi.org/10.1007/s11270-022-05626-5</v>
      </c>
      <c r="G266" s="2" t="s">
        <v>200</v>
      </c>
      <c r="H266" s="2" t="s">
        <v>4740</v>
      </c>
      <c r="I266" s="2" t="s">
        <v>4741</v>
      </c>
      <c r="J266" s="2" t="s">
        <v>1122</v>
      </c>
      <c r="K266" s="2" t="s">
        <v>68</v>
      </c>
      <c r="L266" s="2" t="s">
        <v>4742</v>
      </c>
      <c r="M266" s="2" t="s">
        <v>4743</v>
      </c>
      <c r="N266" s="2" t="s">
        <v>4744</v>
      </c>
      <c r="O266" s="2" t="s">
        <v>4745</v>
      </c>
      <c r="P266" s="2" t="s">
        <v>2387</v>
      </c>
      <c r="Q266" s="2" t="s">
        <v>2388</v>
      </c>
      <c r="R266" s="2" t="s">
        <v>4746</v>
      </c>
      <c r="S266" s="2" t="s">
        <v>4747</v>
      </c>
      <c r="T266" s="2" t="s">
        <v>86</v>
      </c>
      <c r="U266" s="2" t="s">
        <v>86</v>
      </c>
      <c r="V266" s="2" t="s">
        <v>86</v>
      </c>
      <c r="W266" s="2" t="s">
        <v>80</v>
      </c>
      <c r="X266" s="4">
        <v>66</v>
      </c>
      <c r="Y266" s="4">
        <v>3</v>
      </c>
      <c r="Z266" s="4">
        <v>3</v>
      </c>
      <c r="AA266" s="4">
        <v>5</v>
      </c>
      <c r="AB266" s="4">
        <v>19</v>
      </c>
      <c r="AC266" s="2" t="s">
        <v>1130</v>
      </c>
      <c r="AD266" s="2" t="s">
        <v>1131</v>
      </c>
      <c r="AE266" s="2" t="s">
        <v>1132</v>
      </c>
      <c r="AF266" s="2" t="s">
        <v>1133</v>
      </c>
      <c r="AG266" s="2" t="s">
        <v>1134</v>
      </c>
      <c r="AH266" s="2" t="s">
        <v>86</v>
      </c>
      <c r="AI266" s="2" t="s">
        <v>1135</v>
      </c>
      <c r="AJ266" s="2" t="s">
        <v>1136</v>
      </c>
      <c r="AK266" s="2" t="s">
        <v>1220</v>
      </c>
      <c r="AL266" s="4">
        <v>2022</v>
      </c>
      <c r="AM266" s="4">
        <v>233</v>
      </c>
      <c r="AN266" s="4">
        <v>5</v>
      </c>
      <c r="AO266" s="2" t="s">
        <v>86</v>
      </c>
      <c r="AP266" s="2" t="s">
        <v>86</v>
      </c>
      <c r="AQ266" s="2" t="s">
        <v>86</v>
      </c>
      <c r="AR266" s="2" t="s">
        <v>86</v>
      </c>
      <c r="AS266" s="2" t="s">
        <v>86</v>
      </c>
      <c r="AT266" s="2" t="s">
        <v>86</v>
      </c>
      <c r="AU266" s="4">
        <v>160</v>
      </c>
      <c r="AV266" s="2" t="s">
        <v>86</v>
      </c>
      <c r="AW266" s="2" t="s">
        <v>86</v>
      </c>
      <c r="AX266" s="4">
        <v>12</v>
      </c>
      <c r="AY266" s="2" t="s">
        <v>1137</v>
      </c>
      <c r="AZ266" s="2" t="s">
        <v>92</v>
      </c>
      <c r="BA266" s="2" t="s">
        <v>1138</v>
      </c>
      <c r="BB266" s="2" t="s">
        <v>4748</v>
      </c>
      <c r="BC266" s="2" t="s">
        <v>86</v>
      </c>
      <c r="BD266" s="2" t="s">
        <v>86</v>
      </c>
      <c r="BE266" s="2" t="s">
        <v>86</v>
      </c>
      <c r="BF266" s="2" t="s">
        <v>86</v>
      </c>
      <c r="BG266" s="2" t="s">
        <v>95</v>
      </c>
      <c r="BH266" s="2" t="s">
        <v>4749</v>
      </c>
      <c r="BI266" s="2" t="str">
        <f>HYPERLINK("https%3A%2F%2Fwww.webofscience.com%2Fwos%2Fwoscc%2Ffull-record%2FWOS:000791387500001","View Full Record in Web of Science")</f>
        <v>View Full Record in Web of Science</v>
      </c>
    </row>
    <row r="267" spans="1:61" customFormat="1" ht="12.75" x14ac:dyDescent="0.2">
      <c r="A267" s="1">
        <v>264</v>
      </c>
      <c r="B267" s="1" t="s">
        <v>1068</v>
      </c>
      <c r="C267" s="1" t="s">
        <v>4750</v>
      </c>
      <c r="D267" s="2" t="s">
        <v>4751</v>
      </c>
      <c r="E267" s="2" t="s">
        <v>4752</v>
      </c>
      <c r="F267" s="3" t="str">
        <f>HYPERLINK("http://dx.doi.org/10.1016/j.jhazmat.2021.128069","http://dx.doi.org/10.1016/j.jhazmat.2021.128069")</f>
        <v>http://dx.doi.org/10.1016/j.jhazmat.2021.128069</v>
      </c>
      <c r="G267" s="2" t="s">
        <v>200</v>
      </c>
      <c r="H267" s="2" t="s">
        <v>4753</v>
      </c>
      <c r="I267" s="2" t="s">
        <v>4754</v>
      </c>
      <c r="J267" s="2" t="s">
        <v>2836</v>
      </c>
      <c r="K267" s="2" t="s">
        <v>68</v>
      </c>
      <c r="L267" s="2" t="s">
        <v>4755</v>
      </c>
      <c r="M267" s="2" t="s">
        <v>4756</v>
      </c>
      <c r="N267" s="2" t="s">
        <v>4757</v>
      </c>
      <c r="O267" s="2" t="s">
        <v>4758</v>
      </c>
      <c r="P267" s="2" t="s">
        <v>4759</v>
      </c>
      <c r="Q267" s="2" t="s">
        <v>4760</v>
      </c>
      <c r="R267" s="2" t="s">
        <v>4761</v>
      </c>
      <c r="S267" s="2" t="s">
        <v>4762</v>
      </c>
      <c r="T267" s="2" t="s">
        <v>4763</v>
      </c>
      <c r="U267" s="2" t="s">
        <v>4764</v>
      </c>
      <c r="V267" s="2" t="s">
        <v>4765</v>
      </c>
      <c r="W267" s="2" t="s">
        <v>80</v>
      </c>
      <c r="X267" s="4">
        <v>62</v>
      </c>
      <c r="Y267" s="4">
        <v>36</v>
      </c>
      <c r="Z267" s="4">
        <v>36</v>
      </c>
      <c r="AA267" s="4">
        <v>18</v>
      </c>
      <c r="AB267" s="4">
        <v>64</v>
      </c>
      <c r="AC267" s="2" t="s">
        <v>585</v>
      </c>
      <c r="AD267" s="2" t="s">
        <v>586</v>
      </c>
      <c r="AE267" s="2" t="s">
        <v>587</v>
      </c>
      <c r="AF267" s="2" t="s">
        <v>2841</v>
      </c>
      <c r="AG267" s="2" t="s">
        <v>2842</v>
      </c>
      <c r="AH267" s="2" t="s">
        <v>86</v>
      </c>
      <c r="AI267" s="2" t="s">
        <v>2843</v>
      </c>
      <c r="AJ267" s="2" t="s">
        <v>2844</v>
      </c>
      <c r="AK267" s="2" t="s">
        <v>1950</v>
      </c>
      <c r="AL267" s="4">
        <v>2022</v>
      </c>
      <c r="AM267" s="4">
        <v>426</v>
      </c>
      <c r="AN267" s="2" t="s">
        <v>86</v>
      </c>
      <c r="AO267" s="2" t="s">
        <v>86</v>
      </c>
      <c r="AP267" s="2" t="s">
        <v>86</v>
      </c>
      <c r="AQ267" s="2" t="s">
        <v>86</v>
      </c>
      <c r="AR267" s="2" t="s">
        <v>86</v>
      </c>
      <c r="AS267" s="2" t="s">
        <v>86</v>
      </c>
      <c r="AT267" s="2" t="s">
        <v>86</v>
      </c>
      <c r="AU267" s="4">
        <v>128069</v>
      </c>
      <c r="AV267" s="2" t="s">
        <v>86</v>
      </c>
      <c r="AW267" s="2" t="s">
        <v>90</v>
      </c>
      <c r="AX267" s="4">
        <v>14</v>
      </c>
      <c r="AY267" s="2" t="s">
        <v>567</v>
      </c>
      <c r="AZ267" s="2" t="s">
        <v>92</v>
      </c>
      <c r="BA267" s="2" t="s">
        <v>568</v>
      </c>
      <c r="BB267" s="2" t="s">
        <v>4766</v>
      </c>
      <c r="BC267" s="4">
        <v>34959215</v>
      </c>
      <c r="BD267" s="2" t="s">
        <v>86</v>
      </c>
      <c r="BE267" s="2" t="s">
        <v>86</v>
      </c>
      <c r="BF267" s="2" t="s">
        <v>86</v>
      </c>
      <c r="BG267" s="2" t="s">
        <v>95</v>
      </c>
      <c r="BH267" s="2" t="s">
        <v>4767</v>
      </c>
      <c r="BI267" s="2" t="str">
        <f>HYPERLINK("https%3A%2F%2Fwww.webofscience.com%2Fwos%2Fwoscc%2Ffull-record%2FWOS:000752473200004","View Full Record in Web of Science")</f>
        <v>View Full Record in Web of Science</v>
      </c>
    </row>
    <row r="268" spans="1:61" customFormat="1" ht="12.75" x14ac:dyDescent="0.2">
      <c r="A268" s="1">
        <v>265</v>
      </c>
      <c r="B268" s="1" t="s">
        <v>1068</v>
      </c>
      <c r="C268" s="1" t="s">
        <v>4768</v>
      </c>
      <c r="D268" s="2" t="s">
        <v>4769</v>
      </c>
      <c r="E268" s="2" t="s">
        <v>4770</v>
      </c>
      <c r="F268" s="3" t="str">
        <f>HYPERLINK("http://dx.doi.org/10.1016/j.marpolbul.2022.114364","http://dx.doi.org/10.1016/j.marpolbul.2022.114364")</f>
        <v>http://dx.doi.org/10.1016/j.marpolbul.2022.114364</v>
      </c>
      <c r="G268" s="2" t="s">
        <v>200</v>
      </c>
      <c r="H268" s="2" t="s">
        <v>4771</v>
      </c>
      <c r="I268" s="2" t="s">
        <v>4772</v>
      </c>
      <c r="J268" s="2" t="s">
        <v>424</v>
      </c>
      <c r="K268" s="2" t="s">
        <v>68</v>
      </c>
      <c r="L268" s="2" t="s">
        <v>4773</v>
      </c>
      <c r="M268" s="2" t="s">
        <v>4774</v>
      </c>
      <c r="N268" s="2" t="s">
        <v>4775</v>
      </c>
      <c r="O268" s="2" t="s">
        <v>4776</v>
      </c>
      <c r="P268" s="2" t="s">
        <v>4777</v>
      </c>
      <c r="Q268" s="2" t="s">
        <v>4778</v>
      </c>
      <c r="R268" s="2" t="s">
        <v>4779</v>
      </c>
      <c r="S268" s="2" t="s">
        <v>4780</v>
      </c>
      <c r="T268" s="2" t="s">
        <v>4781</v>
      </c>
      <c r="U268" s="2" t="s">
        <v>4782</v>
      </c>
      <c r="V268" s="2" t="s">
        <v>4783</v>
      </c>
      <c r="W268" s="2" t="s">
        <v>80</v>
      </c>
      <c r="X268" s="4">
        <v>101</v>
      </c>
      <c r="Y268" s="4">
        <v>1</v>
      </c>
      <c r="Z268" s="4">
        <v>1</v>
      </c>
      <c r="AA268" s="4">
        <v>6</v>
      </c>
      <c r="AB268" s="4">
        <v>7</v>
      </c>
      <c r="AC268" s="2" t="s">
        <v>237</v>
      </c>
      <c r="AD268" s="2" t="s">
        <v>115</v>
      </c>
      <c r="AE268" s="2" t="s">
        <v>238</v>
      </c>
      <c r="AF268" s="2" t="s">
        <v>436</v>
      </c>
      <c r="AG268" s="2" t="s">
        <v>437</v>
      </c>
      <c r="AH268" s="2" t="s">
        <v>86</v>
      </c>
      <c r="AI268" s="2" t="s">
        <v>438</v>
      </c>
      <c r="AJ268" s="2" t="s">
        <v>439</v>
      </c>
      <c r="AK268" s="2" t="s">
        <v>217</v>
      </c>
      <c r="AL268" s="4">
        <v>2022</v>
      </c>
      <c r="AM268" s="4">
        <v>185</v>
      </c>
      <c r="AN268" s="2" t="s">
        <v>86</v>
      </c>
      <c r="AO268" s="2" t="s">
        <v>188</v>
      </c>
      <c r="AP268" s="2" t="s">
        <v>86</v>
      </c>
      <c r="AQ268" s="2" t="s">
        <v>86</v>
      </c>
      <c r="AR268" s="2" t="s">
        <v>86</v>
      </c>
      <c r="AS268" s="2" t="s">
        <v>86</v>
      </c>
      <c r="AT268" s="2" t="s">
        <v>86</v>
      </c>
      <c r="AU268" s="4">
        <v>114364</v>
      </c>
      <c r="AV268" s="2" t="s">
        <v>86</v>
      </c>
      <c r="AW268" s="2" t="s">
        <v>1911</v>
      </c>
      <c r="AX268" s="4">
        <v>13</v>
      </c>
      <c r="AY268" s="2" t="s">
        <v>441</v>
      </c>
      <c r="AZ268" s="2" t="s">
        <v>92</v>
      </c>
      <c r="BA268" s="2" t="s">
        <v>442</v>
      </c>
      <c r="BB268" s="2" t="s">
        <v>4784</v>
      </c>
      <c r="BC268" s="4">
        <v>36435019</v>
      </c>
      <c r="BD268" s="2" t="s">
        <v>86</v>
      </c>
      <c r="BE268" s="2" t="s">
        <v>86</v>
      </c>
      <c r="BF268" s="2" t="s">
        <v>86</v>
      </c>
      <c r="BG268" s="2" t="s">
        <v>95</v>
      </c>
      <c r="BH268" s="2" t="s">
        <v>4785</v>
      </c>
      <c r="BI268" s="2" t="str">
        <f>HYPERLINK("https%3A%2F%2Fwww.webofscience.com%2Fwos%2Fwoscc%2Ffull-record%2FWOS:000921167800003","View Full Record in Web of Science")</f>
        <v>View Full Record in Web of Science</v>
      </c>
    </row>
    <row r="269" spans="1:61" customFormat="1" ht="12.75" x14ac:dyDescent="0.2">
      <c r="A269" s="1">
        <v>266</v>
      </c>
      <c r="B269" s="1" t="s">
        <v>1068</v>
      </c>
      <c r="C269" s="1" t="s">
        <v>4786</v>
      </c>
      <c r="D269" s="2" t="s">
        <v>4787</v>
      </c>
      <c r="E269" s="2" t="s">
        <v>86</v>
      </c>
      <c r="F269" s="2" t="s">
        <v>86</v>
      </c>
      <c r="G269" s="2" t="s">
        <v>200</v>
      </c>
      <c r="H269" s="2" t="s">
        <v>4788</v>
      </c>
      <c r="I269" s="2" t="s">
        <v>4789</v>
      </c>
      <c r="J269" s="2" t="s">
        <v>4790</v>
      </c>
      <c r="K269" s="2" t="s">
        <v>68</v>
      </c>
      <c r="L269" s="2" t="s">
        <v>4791</v>
      </c>
      <c r="M269" s="2" t="s">
        <v>4792</v>
      </c>
      <c r="N269" s="2" t="s">
        <v>4793</v>
      </c>
      <c r="O269" s="2" t="s">
        <v>4794</v>
      </c>
      <c r="P269" s="2" t="s">
        <v>4795</v>
      </c>
      <c r="Q269" s="2" t="s">
        <v>4796</v>
      </c>
      <c r="R269" s="2" t="s">
        <v>4797</v>
      </c>
      <c r="S269" s="2" t="s">
        <v>4798</v>
      </c>
      <c r="T269" s="2" t="s">
        <v>86</v>
      </c>
      <c r="U269" s="2" t="s">
        <v>86</v>
      </c>
      <c r="V269" s="2" t="s">
        <v>86</v>
      </c>
      <c r="W269" s="2" t="s">
        <v>80</v>
      </c>
      <c r="X269" s="4">
        <v>80</v>
      </c>
      <c r="Y269" s="4">
        <v>18</v>
      </c>
      <c r="Z269" s="4">
        <v>18</v>
      </c>
      <c r="AA269" s="4">
        <v>1</v>
      </c>
      <c r="AB269" s="4">
        <v>4</v>
      </c>
      <c r="AC269" s="2" t="s">
        <v>4799</v>
      </c>
      <c r="AD269" s="2" t="s">
        <v>4800</v>
      </c>
      <c r="AE269" s="2" t="s">
        <v>4801</v>
      </c>
      <c r="AF269" s="2" t="s">
        <v>4802</v>
      </c>
      <c r="AG269" s="2" t="s">
        <v>4803</v>
      </c>
      <c r="AH269" s="2" t="s">
        <v>86</v>
      </c>
      <c r="AI269" s="2" t="s">
        <v>4804</v>
      </c>
      <c r="AJ269" s="2" t="s">
        <v>4805</v>
      </c>
      <c r="AK269" s="2" t="s">
        <v>86</v>
      </c>
      <c r="AL269" s="4">
        <v>2021</v>
      </c>
      <c r="AM269" s="4">
        <v>52</v>
      </c>
      <c r="AN269" s="4">
        <v>10</v>
      </c>
      <c r="AO269" s="2" t="s">
        <v>86</v>
      </c>
      <c r="AP269" s="2" t="s">
        <v>86</v>
      </c>
      <c r="AQ269" s="2" t="s">
        <v>86</v>
      </c>
      <c r="AR269" s="2" t="s">
        <v>86</v>
      </c>
      <c r="AS269" s="4">
        <v>19</v>
      </c>
      <c r="AT269" s="4">
        <v>45</v>
      </c>
      <c r="AU269" s="2" t="s">
        <v>86</v>
      </c>
      <c r="AV269" s="2" t="s">
        <v>86</v>
      </c>
      <c r="AW269" s="2" t="s">
        <v>86</v>
      </c>
      <c r="AX269" s="4">
        <v>27</v>
      </c>
      <c r="AY269" s="2" t="s">
        <v>4806</v>
      </c>
      <c r="AZ269" s="2" t="s">
        <v>92</v>
      </c>
      <c r="BA269" s="2" t="s">
        <v>4806</v>
      </c>
      <c r="BB269" s="2" t="s">
        <v>4807</v>
      </c>
      <c r="BC269" s="2" t="s">
        <v>86</v>
      </c>
      <c r="BD269" s="2" t="s">
        <v>86</v>
      </c>
      <c r="BE269" s="2" t="s">
        <v>86</v>
      </c>
      <c r="BF269" s="2" t="s">
        <v>86</v>
      </c>
      <c r="BG269" s="2" t="s">
        <v>95</v>
      </c>
      <c r="BH269" s="2" t="s">
        <v>4808</v>
      </c>
      <c r="BI269" s="2" t="str">
        <f>HYPERLINK("https%3A%2F%2Fwww.webofscience.com%2Fwos%2Fwoscc%2Ffull-record%2FWOS:000679826300002","View Full Record in Web of Science")</f>
        <v>View Full Record in Web of Science</v>
      </c>
    </row>
    <row r="270" spans="1:61" customFormat="1" ht="12.75" x14ac:dyDescent="0.2">
      <c r="A270" s="1">
        <v>267</v>
      </c>
      <c r="B270" s="1" t="s">
        <v>1068</v>
      </c>
      <c r="C270" s="1" t="s">
        <v>4809</v>
      </c>
      <c r="D270" s="2" t="s">
        <v>4810</v>
      </c>
      <c r="E270" s="2" t="s">
        <v>4811</v>
      </c>
      <c r="F270" s="3" t="str">
        <f>HYPERLINK("http://dx.doi.org/10.1016/j.scitotenv.2022.161256","http://dx.doi.org/10.1016/j.scitotenv.2022.161256")</f>
        <v>http://dx.doi.org/10.1016/j.scitotenv.2022.161256</v>
      </c>
      <c r="G270" s="2" t="s">
        <v>200</v>
      </c>
      <c r="H270" s="2" t="s">
        <v>4812</v>
      </c>
      <c r="I270" s="2" t="s">
        <v>4813</v>
      </c>
      <c r="J270" s="2" t="s">
        <v>576</v>
      </c>
      <c r="K270" s="2" t="s">
        <v>68</v>
      </c>
      <c r="L270" s="2" t="s">
        <v>4814</v>
      </c>
      <c r="M270" s="2" t="s">
        <v>4815</v>
      </c>
      <c r="N270" s="2" t="s">
        <v>4816</v>
      </c>
      <c r="O270" s="2" t="s">
        <v>4817</v>
      </c>
      <c r="P270" s="2" t="s">
        <v>4818</v>
      </c>
      <c r="Q270" s="2" t="s">
        <v>4819</v>
      </c>
      <c r="R270" s="2" t="s">
        <v>4820</v>
      </c>
      <c r="S270" s="2" t="s">
        <v>4821</v>
      </c>
      <c r="T270" s="2" t="s">
        <v>86</v>
      </c>
      <c r="U270" s="2" t="s">
        <v>86</v>
      </c>
      <c r="V270" s="2" t="s">
        <v>86</v>
      </c>
      <c r="W270" s="2" t="s">
        <v>80</v>
      </c>
      <c r="X270" s="4">
        <v>23</v>
      </c>
      <c r="Y270" s="4">
        <v>1</v>
      </c>
      <c r="Z270" s="4">
        <v>1</v>
      </c>
      <c r="AA270" s="4">
        <v>4</v>
      </c>
      <c r="AB270" s="4">
        <v>4</v>
      </c>
      <c r="AC270" s="2" t="s">
        <v>585</v>
      </c>
      <c r="AD270" s="2" t="s">
        <v>586</v>
      </c>
      <c r="AE270" s="2" t="s">
        <v>587</v>
      </c>
      <c r="AF270" s="2" t="s">
        <v>588</v>
      </c>
      <c r="AG270" s="2" t="s">
        <v>589</v>
      </c>
      <c r="AH270" s="2" t="s">
        <v>86</v>
      </c>
      <c r="AI270" s="2" t="s">
        <v>590</v>
      </c>
      <c r="AJ270" s="2" t="s">
        <v>591</v>
      </c>
      <c r="AK270" s="2" t="s">
        <v>4822</v>
      </c>
      <c r="AL270" s="4">
        <v>2023</v>
      </c>
      <c r="AM270" s="4">
        <v>865</v>
      </c>
      <c r="AN270" s="2" t="s">
        <v>86</v>
      </c>
      <c r="AO270" s="2" t="s">
        <v>86</v>
      </c>
      <c r="AP270" s="2" t="s">
        <v>86</v>
      </c>
      <c r="AQ270" s="2" t="s">
        <v>86</v>
      </c>
      <c r="AR270" s="2" t="s">
        <v>86</v>
      </c>
      <c r="AS270" s="2" t="s">
        <v>86</v>
      </c>
      <c r="AT270" s="2" t="s">
        <v>86</v>
      </c>
      <c r="AU270" s="4">
        <v>161256</v>
      </c>
      <c r="AV270" s="2" t="s">
        <v>86</v>
      </c>
      <c r="AW270" s="2" t="s">
        <v>86</v>
      </c>
      <c r="AX270" s="4">
        <v>3</v>
      </c>
      <c r="AY270" s="2" t="s">
        <v>91</v>
      </c>
      <c r="AZ270" s="2" t="s">
        <v>92</v>
      </c>
      <c r="BA270" s="2" t="s">
        <v>93</v>
      </c>
      <c r="BB270" s="2" t="s">
        <v>4823</v>
      </c>
      <c r="BC270" s="4">
        <v>36587695</v>
      </c>
      <c r="BD270" s="2" t="s">
        <v>4824</v>
      </c>
      <c r="BE270" s="2" t="s">
        <v>86</v>
      </c>
      <c r="BF270" s="2" t="s">
        <v>86</v>
      </c>
      <c r="BG270" s="2" t="s">
        <v>95</v>
      </c>
      <c r="BH270" s="2" t="s">
        <v>4825</v>
      </c>
      <c r="BI270" s="2" t="str">
        <f>HYPERLINK("https%3A%2F%2Fwww.webofscience.com%2Fwos%2Fwoscc%2Ffull-record%2FWOS:001008759500001","View Full Record in Web of Science")</f>
        <v>View Full Record in Web of Science</v>
      </c>
    </row>
    <row r="271" spans="1:61" customFormat="1" ht="12.75" x14ac:dyDescent="0.2">
      <c r="A271" s="1">
        <v>268</v>
      </c>
      <c r="B271" s="1" t="s">
        <v>1068</v>
      </c>
      <c r="C271" s="1" t="s">
        <v>4826</v>
      </c>
      <c r="D271" s="2" t="s">
        <v>4827</v>
      </c>
      <c r="E271" s="2" t="s">
        <v>4828</v>
      </c>
      <c r="F271" s="3" t="str">
        <f>HYPERLINK("http://dx.doi.org/10.1007/s40799-017-0212-3","http://dx.doi.org/10.1007/s40799-017-0212-3")</f>
        <v>http://dx.doi.org/10.1007/s40799-017-0212-3</v>
      </c>
      <c r="G271" s="2" t="s">
        <v>200</v>
      </c>
      <c r="H271" s="2" t="s">
        <v>4829</v>
      </c>
      <c r="I271" s="2" t="s">
        <v>4830</v>
      </c>
      <c r="J271" s="2" t="s">
        <v>4831</v>
      </c>
      <c r="K271" s="2" t="s">
        <v>68</v>
      </c>
      <c r="L271" s="2" t="s">
        <v>4832</v>
      </c>
      <c r="M271" s="2" t="s">
        <v>4833</v>
      </c>
      <c r="N271" s="2" t="s">
        <v>4834</v>
      </c>
      <c r="O271" s="2" t="s">
        <v>4835</v>
      </c>
      <c r="P271" s="2" t="s">
        <v>4836</v>
      </c>
      <c r="Q271" s="2" t="s">
        <v>4837</v>
      </c>
      <c r="R271" s="2" t="s">
        <v>4838</v>
      </c>
      <c r="S271" s="2" t="s">
        <v>4839</v>
      </c>
      <c r="T271" s="2" t="s">
        <v>4840</v>
      </c>
      <c r="U271" s="2" t="s">
        <v>4841</v>
      </c>
      <c r="V271" s="2" t="s">
        <v>4842</v>
      </c>
      <c r="W271" s="2" t="s">
        <v>80</v>
      </c>
      <c r="X271" s="4">
        <v>23</v>
      </c>
      <c r="Y271" s="4">
        <v>1</v>
      </c>
      <c r="Z271" s="4">
        <v>1</v>
      </c>
      <c r="AA271" s="4">
        <v>0</v>
      </c>
      <c r="AB271" s="4">
        <v>10</v>
      </c>
      <c r="AC271" s="2" t="s">
        <v>139</v>
      </c>
      <c r="AD271" s="2" t="s">
        <v>1355</v>
      </c>
      <c r="AE271" s="2" t="s">
        <v>4512</v>
      </c>
      <c r="AF271" s="2" t="s">
        <v>4843</v>
      </c>
      <c r="AG271" s="2" t="s">
        <v>4844</v>
      </c>
      <c r="AH271" s="2" t="s">
        <v>86</v>
      </c>
      <c r="AI271" s="2" t="s">
        <v>4845</v>
      </c>
      <c r="AJ271" s="2" t="s">
        <v>4846</v>
      </c>
      <c r="AK271" s="2" t="s">
        <v>89</v>
      </c>
      <c r="AL271" s="4">
        <v>2018</v>
      </c>
      <c r="AM271" s="4">
        <v>42</v>
      </c>
      <c r="AN271" s="4">
        <v>2</v>
      </c>
      <c r="AO271" s="2" t="s">
        <v>86</v>
      </c>
      <c r="AP271" s="2" t="s">
        <v>86</v>
      </c>
      <c r="AQ271" s="2" t="s">
        <v>86</v>
      </c>
      <c r="AR271" s="2" t="s">
        <v>86</v>
      </c>
      <c r="AS271" s="4">
        <v>177</v>
      </c>
      <c r="AT271" s="4">
        <v>189</v>
      </c>
      <c r="AU271" s="2" t="s">
        <v>86</v>
      </c>
      <c r="AV271" s="2" t="s">
        <v>86</v>
      </c>
      <c r="AW271" s="2" t="s">
        <v>86</v>
      </c>
      <c r="AX271" s="4">
        <v>13</v>
      </c>
      <c r="AY271" s="2" t="s">
        <v>4847</v>
      </c>
      <c r="AZ271" s="2" t="s">
        <v>92</v>
      </c>
      <c r="BA271" s="2" t="s">
        <v>4848</v>
      </c>
      <c r="BB271" s="2" t="s">
        <v>4849</v>
      </c>
      <c r="BC271" s="2" t="s">
        <v>86</v>
      </c>
      <c r="BD271" s="2" t="s">
        <v>86</v>
      </c>
      <c r="BE271" s="2" t="s">
        <v>86</v>
      </c>
      <c r="BF271" s="2" t="s">
        <v>86</v>
      </c>
      <c r="BG271" s="2" t="s">
        <v>95</v>
      </c>
      <c r="BH271" s="2" t="s">
        <v>4850</v>
      </c>
      <c r="BI271" s="2" t="str">
        <f>HYPERLINK("https%3A%2F%2Fwww.webofscience.com%2Fwos%2Fwoscc%2Ffull-record%2FWOS:000432309300005","View Full Record in Web of Science")</f>
        <v>View Full Record in Web of Science</v>
      </c>
    </row>
    <row r="272" spans="1:61" customFormat="1" ht="12.75" x14ac:dyDescent="0.2">
      <c r="A272" s="1">
        <v>269</v>
      </c>
      <c r="B272" s="1" t="s">
        <v>1068</v>
      </c>
      <c r="C272" s="1" t="s">
        <v>4851</v>
      </c>
      <c r="D272" s="2" t="s">
        <v>4852</v>
      </c>
      <c r="E272" s="2" t="s">
        <v>4853</v>
      </c>
      <c r="F272" s="3" t="str">
        <f>HYPERLINK("http://dx.doi.org/10.29271/jcpsp.2022.08.1070","http://dx.doi.org/10.29271/jcpsp.2022.08.1070")</f>
        <v>http://dx.doi.org/10.29271/jcpsp.2022.08.1070</v>
      </c>
      <c r="G272" s="2" t="s">
        <v>200</v>
      </c>
      <c r="H272" s="2" t="s">
        <v>4854</v>
      </c>
      <c r="I272" s="2" t="s">
        <v>4855</v>
      </c>
      <c r="J272" s="2" t="s">
        <v>4856</v>
      </c>
      <c r="K272" s="2" t="s">
        <v>68</v>
      </c>
      <c r="L272" s="2" t="s">
        <v>4857</v>
      </c>
      <c r="M272" s="2" t="s">
        <v>86</v>
      </c>
      <c r="N272" s="2" t="s">
        <v>4858</v>
      </c>
      <c r="O272" s="2" t="s">
        <v>4859</v>
      </c>
      <c r="P272" s="2" t="s">
        <v>4860</v>
      </c>
      <c r="Q272" s="2" t="s">
        <v>4861</v>
      </c>
      <c r="R272" s="2" t="s">
        <v>4862</v>
      </c>
      <c r="S272" s="2" t="s">
        <v>4863</v>
      </c>
      <c r="T272" s="2" t="s">
        <v>86</v>
      </c>
      <c r="U272" s="2" t="s">
        <v>86</v>
      </c>
      <c r="V272" s="2" t="s">
        <v>86</v>
      </c>
      <c r="W272" s="2" t="s">
        <v>80</v>
      </c>
      <c r="X272" s="4">
        <v>9</v>
      </c>
      <c r="Y272" s="4">
        <v>0</v>
      </c>
      <c r="Z272" s="4">
        <v>0</v>
      </c>
      <c r="AA272" s="4">
        <v>0</v>
      </c>
      <c r="AB272" s="4">
        <v>1</v>
      </c>
      <c r="AC272" s="2" t="s">
        <v>4864</v>
      </c>
      <c r="AD272" s="2" t="s">
        <v>4575</v>
      </c>
      <c r="AE272" s="2" t="s">
        <v>4865</v>
      </c>
      <c r="AF272" s="2" t="s">
        <v>4866</v>
      </c>
      <c r="AG272" s="2" t="s">
        <v>4867</v>
      </c>
      <c r="AH272" s="2" t="s">
        <v>86</v>
      </c>
      <c r="AI272" s="2" t="s">
        <v>4868</v>
      </c>
      <c r="AJ272" s="2" t="s">
        <v>4869</v>
      </c>
      <c r="AK272" s="2" t="s">
        <v>636</v>
      </c>
      <c r="AL272" s="4">
        <v>2022</v>
      </c>
      <c r="AM272" s="4">
        <v>32</v>
      </c>
      <c r="AN272" s="4">
        <v>8</v>
      </c>
      <c r="AO272" s="2" t="s">
        <v>86</v>
      </c>
      <c r="AP272" s="2" t="s">
        <v>86</v>
      </c>
      <c r="AQ272" s="2" t="s">
        <v>86</v>
      </c>
      <c r="AR272" s="2" t="s">
        <v>86</v>
      </c>
      <c r="AS272" s="4">
        <v>1070</v>
      </c>
      <c r="AT272" s="4">
        <v>1072</v>
      </c>
      <c r="AU272" s="2" t="s">
        <v>86</v>
      </c>
      <c r="AV272" s="2" t="s">
        <v>86</v>
      </c>
      <c r="AW272" s="2" t="s">
        <v>86</v>
      </c>
      <c r="AX272" s="4">
        <v>3</v>
      </c>
      <c r="AY272" s="2" t="s">
        <v>4870</v>
      </c>
      <c r="AZ272" s="2" t="s">
        <v>92</v>
      </c>
      <c r="BA272" s="2" t="s">
        <v>4871</v>
      </c>
      <c r="BB272" s="2" t="s">
        <v>4872</v>
      </c>
      <c r="BC272" s="4">
        <v>35932137</v>
      </c>
      <c r="BD272" s="2" t="s">
        <v>321</v>
      </c>
      <c r="BE272" s="2" t="s">
        <v>86</v>
      </c>
      <c r="BF272" s="2" t="s">
        <v>86</v>
      </c>
      <c r="BG272" s="2" t="s">
        <v>95</v>
      </c>
      <c r="BH272" s="2" t="s">
        <v>4873</v>
      </c>
      <c r="BI272" s="2" t="str">
        <f>HYPERLINK("https%3A%2F%2Fwww.webofscience.com%2Fwos%2Fwoscc%2Ffull-record%2FWOS:000841251300023","View Full Record in Web of Science")</f>
        <v>View Full Record in Web of Science</v>
      </c>
    </row>
    <row r="273" spans="1:61" customFormat="1" ht="12.75" x14ac:dyDescent="0.2">
      <c r="A273" s="1">
        <v>270</v>
      </c>
      <c r="B273" s="1" t="s">
        <v>1068</v>
      </c>
      <c r="C273" s="1" t="s">
        <v>4874</v>
      </c>
      <c r="D273" s="2" t="s">
        <v>4875</v>
      </c>
      <c r="E273" s="2" t="s">
        <v>86</v>
      </c>
      <c r="F273" s="2" t="s">
        <v>86</v>
      </c>
      <c r="G273" s="2" t="s">
        <v>200</v>
      </c>
      <c r="H273" s="2" t="s">
        <v>4876</v>
      </c>
      <c r="I273" s="2" t="s">
        <v>4877</v>
      </c>
      <c r="J273" s="2" t="s">
        <v>4878</v>
      </c>
      <c r="K273" s="2" t="s">
        <v>68</v>
      </c>
      <c r="L273" s="2" t="s">
        <v>4879</v>
      </c>
      <c r="M273" s="2" t="s">
        <v>4880</v>
      </c>
      <c r="N273" s="2" t="s">
        <v>4881</v>
      </c>
      <c r="O273" s="2" t="s">
        <v>2784</v>
      </c>
      <c r="P273" s="2" t="s">
        <v>4882</v>
      </c>
      <c r="Q273" s="2" t="s">
        <v>4883</v>
      </c>
      <c r="R273" s="2" t="s">
        <v>4884</v>
      </c>
      <c r="S273" s="2" t="s">
        <v>4885</v>
      </c>
      <c r="T273" s="2" t="s">
        <v>86</v>
      </c>
      <c r="U273" s="2" t="s">
        <v>86</v>
      </c>
      <c r="V273" s="2" t="s">
        <v>86</v>
      </c>
      <c r="W273" s="2" t="s">
        <v>80</v>
      </c>
      <c r="X273" s="4">
        <v>14</v>
      </c>
      <c r="Y273" s="4">
        <v>1</v>
      </c>
      <c r="Z273" s="4">
        <v>1</v>
      </c>
      <c r="AA273" s="4">
        <v>0</v>
      </c>
      <c r="AB273" s="4">
        <v>9</v>
      </c>
      <c r="AC273" s="2" t="s">
        <v>4886</v>
      </c>
      <c r="AD273" s="2" t="s">
        <v>4887</v>
      </c>
      <c r="AE273" s="2" t="s">
        <v>4888</v>
      </c>
      <c r="AF273" s="2" t="s">
        <v>4889</v>
      </c>
      <c r="AG273" s="2" t="s">
        <v>86</v>
      </c>
      <c r="AH273" s="2" t="s">
        <v>86</v>
      </c>
      <c r="AI273" s="2" t="s">
        <v>4878</v>
      </c>
      <c r="AJ273" s="2" t="s">
        <v>4890</v>
      </c>
      <c r="AK273" s="2" t="s">
        <v>86</v>
      </c>
      <c r="AL273" s="4">
        <v>2012</v>
      </c>
      <c r="AM273" s="4">
        <v>6</v>
      </c>
      <c r="AN273" s="4">
        <v>12</v>
      </c>
      <c r="AO273" s="2" t="s">
        <v>86</v>
      </c>
      <c r="AP273" s="2" t="s">
        <v>86</v>
      </c>
      <c r="AQ273" s="2" t="s">
        <v>86</v>
      </c>
      <c r="AR273" s="2" t="s">
        <v>86</v>
      </c>
      <c r="AS273" s="4">
        <v>3952</v>
      </c>
      <c r="AT273" s="4">
        <v>3956</v>
      </c>
      <c r="AU273" s="2" t="s">
        <v>86</v>
      </c>
      <c r="AV273" s="2" t="s">
        <v>86</v>
      </c>
      <c r="AW273" s="2" t="s">
        <v>86</v>
      </c>
      <c r="AX273" s="4">
        <v>5</v>
      </c>
      <c r="AY273" s="2" t="s">
        <v>4870</v>
      </c>
      <c r="AZ273" s="2" t="s">
        <v>92</v>
      </c>
      <c r="BA273" s="2" t="s">
        <v>4871</v>
      </c>
      <c r="BB273" s="2" t="s">
        <v>4891</v>
      </c>
      <c r="BC273" s="2" t="s">
        <v>86</v>
      </c>
      <c r="BD273" s="2" t="s">
        <v>86</v>
      </c>
      <c r="BE273" s="2" t="s">
        <v>86</v>
      </c>
      <c r="BF273" s="2" t="s">
        <v>86</v>
      </c>
      <c r="BG273" s="2" t="s">
        <v>95</v>
      </c>
      <c r="BH273" s="2" t="s">
        <v>4892</v>
      </c>
      <c r="BI273" s="2" t="str">
        <f>HYPERLINK("https%3A%2F%2Fwww.webofscience.com%2Fwos%2Fwoscc%2Ffull-record%2FWOS:000314345000009","View Full Record in Web of Science")</f>
        <v>View Full Record in Web of Science</v>
      </c>
    </row>
    <row r="274" spans="1:61" customFormat="1" ht="12.75" x14ac:dyDescent="0.2">
      <c r="A274" s="1">
        <v>271</v>
      </c>
      <c r="B274" s="1" t="s">
        <v>1068</v>
      </c>
      <c r="C274" s="1" t="s">
        <v>4893</v>
      </c>
      <c r="D274" s="2" t="s">
        <v>4894</v>
      </c>
      <c r="E274" s="2" t="s">
        <v>4895</v>
      </c>
      <c r="F274" s="3" t="str">
        <f>HYPERLINK("http://dx.doi.org/10.2339/politeknik.926465","http://dx.doi.org/10.2339/politeknik.926465")</f>
        <v>http://dx.doi.org/10.2339/politeknik.926465</v>
      </c>
      <c r="G274" s="2" t="s">
        <v>200</v>
      </c>
      <c r="H274" s="2" t="s">
        <v>4896</v>
      </c>
      <c r="I274" s="2" t="s">
        <v>4897</v>
      </c>
      <c r="J274" s="2" t="s">
        <v>4898</v>
      </c>
      <c r="K274" s="2" t="s">
        <v>68</v>
      </c>
      <c r="L274" s="2" t="s">
        <v>4899</v>
      </c>
      <c r="M274" s="2" t="s">
        <v>86</v>
      </c>
      <c r="N274" s="2" t="s">
        <v>4900</v>
      </c>
      <c r="O274" s="2" t="s">
        <v>4901</v>
      </c>
      <c r="P274" s="2" t="s">
        <v>4902</v>
      </c>
      <c r="Q274" s="2" t="s">
        <v>4903</v>
      </c>
      <c r="R274" s="2" t="s">
        <v>4904</v>
      </c>
      <c r="S274" s="2" t="s">
        <v>4905</v>
      </c>
      <c r="T274" s="2" t="s">
        <v>86</v>
      </c>
      <c r="U274" s="2" t="s">
        <v>86</v>
      </c>
      <c r="V274" s="2" t="s">
        <v>86</v>
      </c>
      <c r="W274" s="2" t="s">
        <v>80</v>
      </c>
      <c r="X274" s="4">
        <v>17</v>
      </c>
      <c r="Y274" s="4">
        <v>0</v>
      </c>
      <c r="Z274" s="4">
        <v>0</v>
      </c>
      <c r="AA274" s="4">
        <v>0</v>
      </c>
      <c r="AB274" s="4">
        <v>1</v>
      </c>
      <c r="AC274" s="2" t="s">
        <v>4906</v>
      </c>
      <c r="AD274" s="2" t="s">
        <v>932</v>
      </c>
      <c r="AE274" s="2" t="s">
        <v>4907</v>
      </c>
      <c r="AF274" s="2" t="s">
        <v>4908</v>
      </c>
      <c r="AG274" s="2" t="s">
        <v>4909</v>
      </c>
      <c r="AH274" s="2" t="s">
        <v>86</v>
      </c>
      <c r="AI274" s="2" t="s">
        <v>4910</v>
      </c>
      <c r="AJ274" s="2" t="s">
        <v>4911</v>
      </c>
      <c r="AK274" s="2" t="s">
        <v>217</v>
      </c>
      <c r="AL274" s="4">
        <v>2021</v>
      </c>
      <c r="AM274" s="4">
        <v>24</v>
      </c>
      <c r="AN274" s="4">
        <v>4</v>
      </c>
      <c r="AO274" s="2" t="s">
        <v>86</v>
      </c>
      <c r="AP274" s="2" t="s">
        <v>86</v>
      </c>
      <c r="AQ274" s="2" t="s">
        <v>86</v>
      </c>
      <c r="AR274" s="2" t="s">
        <v>86</v>
      </c>
      <c r="AS274" s="4">
        <v>1647</v>
      </c>
      <c r="AT274" s="4">
        <v>1654</v>
      </c>
      <c r="AU274" s="2" t="s">
        <v>86</v>
      </c>
      <c r="AV274" s="2" t="s">
        <v>86</v>
      </c>
      <c r="AW274" s="2" t="s">
        <v>86</v>
      </c>
      <c r="AX274" s="4">
        <v>8</v>
      </c>
      <c r="AY274" s="2" t="s">
        <v>808</v>
      </c>
      <c r="AZ274" s="2" t="s">
        <v>171</v>
      </c>
      <c r="BA274" s="2" t="s">
        <v>345</v>
      </c>
      <c r="BB274" s="2" t="s">
        <v>4912</v>
      </c>
      <c r="BC274" s="2" t="s">
        <v>86</v>
      </c>
      <c r="BD274" s="2" t="s">
        <v>321</v>
      </c>
      <c r="BE274" s="2" t="s">
        <v>86</v>
      </c>
      <c r="BF274" s="2" t="s">
        <v>86</v>
      </c>
      <c r="BG274" s="2" t="s">
        <v>95</v>
      </c>
      <c r="BH274" s="2" t="s">
        <v>4913</v>
      </c>
      <c r="BI274" s="2" t="str">
        <f>HYPERLINK("https%3A%2F%2Fwww.webofscience.com%2Fwos%2Fwoscc%2Ffull-record%2FWOS:000762330700029","View Full Record in Web of Science")</f>
        <v>View Full Record in Web of Science</v>
      </c>
    </row>
    <row r="275" spans="1:61" customFormat="1" ht="12.75" x14ac:dyDescent="0.2">
      <c r="A275" s="1">
        <v>272</v>
      </c>
      <c r="B275" s="1" t="s">
        <v>1068</v>
      </c>
      <c r="C275" s="1" t="s">
        <v>4914</v>
      </c>
      <c r="D275" s="2" t="s">
        <v>4915</v>
      </c>
      <c r="E275" s="2" t="s">
        <v>4916</v>
      </c>
      <c r="F275" s="3" t="str">
        <f>HYPERLINK("http://dx.doi.org/10.1007/s13762-021-03179-4","http://dx.doi.org/10.1007/s13762-021-03179-4")</f>
        <v>http://dx.doi.org/10.1007/s13762-021-03179-4</v>
      </c>
      <c r="G275" s="2" t="s">
        <v>200</v>
      </c>
      <c r="H275" s="2" t="s">
        <v>4917</v>
      </c>
      <c r="I275" s="2" t="s">
        <v>4918</v>
      </c>
      <c r="J275" s="2" t="s">
        <v>4919</v>
      </c>
      <c r="K275" s="2" t="s">
        <v>68</v>
      </c>
      <c r="L275" s="2" t="s">
        <v>4920</v>
      </c>
      <c r="M275" s="2" t="s">
        <v>86</v>
      </c>
      <c r="N275" s="2" t="s">
        <v>4921</v>
      </c>
      <c r="O275" s="2" t="s">
        <v>4922</v>
      </c>
      <c r="P275" s="2" t="s">
        <v>4923</v>
      </c>
      <c r="Q275" s="2" t="s">
        <v>4924</v>
      </c>
      <c r="R275" s="2" t="s">
        <v>4925</v>
      </c>
      <c r="S275" s="2" t="s">
        <v>4926</v>
      </c>
      <c r="T275" s="2" t="s">
        <v>4927</v>
      </c>
      <c r="U275" s="2" t="s">
        <v>4927</v>
      </c>
      <c r="V275" s="2" t="s">
        <v>4928</v>
      </c>
      <c r="W275" s="2" t="s">
        <v>80</v>
      </c>
      <c r="X275" s="4">
        <v>22</v>
      </c>
      <c r="Y275" s="4">
        <v>14</v>
      </c>
      <c r="Z275" s="4">
        <v>14</v>
      </c>
      <c r="AA275" s="4">
        <v>9</v>
      </c>
      <c r="AB275" s="4">
        <v>39</v>
      </c>
      <c r="AC275" s="2" t="s">
        <v>139</v>
      </c>
      <c r="AD275" s="2" t="s">
        <v>1355</v>
      </c>
      <c r="AE275" s="2" t="s">
        <v>1356</v>
      </c>
      <c r="AF275" s="2" t="s">
        <v>4929</v>
      </c>
      <c r="AG275" s="2" t="s">
        <v>4930</v>
      </c>
      <c r="AH275" s="2" t="s">
        <v>86</v>
      </c>
      <c r="AI275" s="2" t="s">
        <v>4931</v>
      </c>
      <c r="AJ275" s="2" t="s">
        <v>4932</v>
      </c>
      <c r="AK275" s="2" t="s">
        <v>366</v>
      </c>
      <c r="AL275" s="4">
        <v>2022</v>
      </c>
      <c r="AM275" s="4">
        <v>19</v>
      </c>
      <c r="AN275" s="4">
        <v>3</v>
      </c>
      <c r="AO275" s="2" t="s">
        <v>86</v>
      </c>
      <c r="AP275" s="2" t="s">
        <v>86</v>
      </c>
      <c r="AQ275" s="2" t="s">
        <v>86</v>
      </c>
      <c r="AR275" s="2" t="s">
        <v>86</v>
      </c>
      <c r="AS275" s="4">
        <v>1285</v>
      </c>
      <c r="AT275" s="4">
        <v>1292</v>
      </c>
      <c r="AU275" s="2" t="s">
        <v>86</v>
      </c>
      <c r="AV275" s="2" t="s">
        <v>86</v>
      </c>
      <c r="AW275" s="2" t="s">
        <v>468</v>
      </c>
      <c r="AX275" s="4">
        <v>8</v>
      </c>
      <c r="AY275" s="2" t="s">
        <v>91</v>
      </c>
      <c r="AZ275" s="2" t="s">
        <v>92</v>
      </c>
      <c r="BA275" s="2" t="s">
        <v>93</v>
      </c>
      <c r="BB275" s="2" t="s">
        <v>4933</v>
      </c>
      <c r="BC275" s="2" t="s">
        <v>86</v>
      </c>
      <c r="BD275" s="2" t="s">
        <v>86</v>
      </c>
      <c r="BE275" s="2" t="s">
        <v>86</v>
      </c>
      <c r="BF275" s="2" t="s">
        <v>86</v>
      </c>
      <c r="BG275" s="2" t="s">
        <v>95</v>
      </c>
      <c r="BH275" s="2" t="s">
        <v>4934</v>
      </c>
      <c r="BI275" s="2" t="str">
        <f>HYPERLINK("https%3A%2F%2Fwww.webofscience.com%2Fwos%2Fwoscc%2Ffull-record%2FWOS:000617859600001","View Full Record in Web of Science")</f>
        <v>View Full Record in Web of Science</v>
      </c>
    </row>
    <row r="276" spans="1:61" customFormat="1" ht="12.75" x14ac:dyDescent="0.2">
      <c r="A276" s="1">
        <v>273</v>
      </c>
      <c r="B276" s="1" t="s">
        <v>1068</v>
      </c>
      <c r="C276" s="1" t="s">
        <v>4935</v>
      </c>
      <c r="D276" s="2" t="s">
        <v>4936</v>
      </c>
      <c r="E276" s="2" t="s">
        <v>4937</v>
      </c>
      <c r="F276" s="3" t="str">
        <f>HYPERLINK("http://dx.doi.org/10.1080/00908310390268128","http://dx.doi.org/10.1080/00908310390268128")</f>
        <v>http://dx.doi.org/10.1080/00908310390268128</v>
      </c>
      <c r="G276" s="2" t="s">
        <v>200</v>
      </c>
      <c r="H276" s="2" t="s">
        <v>664</v>
      </c>
      <c r="I276" s="2" t="s">
        <v>664</v>
      </c>
      <c r="J276" s="2" t="s">
        <v>665</v>
      </c>
      <c r="K276" s="2" t="s">
        <v>68</v>
      </c>
      <c r="L276" s="2" t="s">
        <v>4938</v>
      </c>
      <c r="M276" s="2" t="s">
        <v>4939</v>
      </c>
      <c r="N276" s="2" t="s">
        <v>4940</v>
      </c>
      <c r="O276" s="2" t="s">
        <v>668</v>
      </c>
      <c r="P276" s="2" t="s">
        <v>4941</v>
      </c>
      <c r="Q276" s="2" t="s">
        <v>670</v>
      </c>
      <c r="R276" s="2" t="s">
        <v>86</v>
      </c>
      <c r="S276" s="2" t="s">
        <v>86</v>
      </c>
      <c r="T276" s="2" t="s">
        <v>86</v>
      </c>
      <c r="U276" s="2" t="s">
        <v>86</v>
      </c>
      <c r="V276" s="2" t="s">
        <v>86</v>
      </c>
      <c r="W276" s="2" t="s">
        <v>80</v>
      </c>
      <c r="X276" s="4">
        <v>19</v>
      </c>
      <c r="Y276" s="4">
        <v>10</v>
      </c>
      <c r="Z276" s="4">
        <v>10</v>
      </c>
      <c r="AA276" s="4">
        <v>0</v>
      </c>
      <c r="AB276" s="4">
        <v>17</v>
      </c>
      <c r="AC276" s="2" t="s">
        <v>260</v>
      </c>
      <c r="AD276" s="2" t="s">
        <v>261</v>
      </c>
      <c r="AE276" s="2" t="s">
        <v>671</v>
      </c>
      <c r="AF276" s="2" t="s">
        <v>672</v>
      </c>
      <c r="AG276" s="2" t="s">
        <v>86</v>
      </c>
      <c r="AH276" s="2" t="s">
        <v>86</v>
      </c>
      <c r="AI276" s="2" t="s">
        <v>673</v>
      </c>
      <c r="AJ276" s="2" t="s">
        <v>674</v>
      </c>
      <c r="AK276" s="2" t="s">
        <v>146</v>
      </c>
      <c r="AL276" s="4">
        <v>2005</v>
      </c>
      <c r="AM276" s="4">
        <v>27</v>
      </c>
      <c r="AN276" s="4">
        <v>3</v>
      </c>
      <c r="AO276" s="2" t="s">
        <v>86</v>
      </c>
      <c r="AP276" s="2" t="s">
        <v>86</v>
      </c>
      <c r="AQ276" s="2" t="s">
        <v>86</v>
      </c>
      <c r="AR276" s="2" t="s">
        <v>86</v>
      </c>
      <c r="AS276" s="4">
        <v>261</v>
      </c>
      <c r="AT276" s="4">
        <v>269</v>
      </c>
      <c r="AU276" s="2" t="s">
        <v>86</v>
      </c>
      <c r="AV276" s="2" t="s">
        <v>86</v>
      </c>
      <c r="AW276" s="2" t="s">
        <v>86</v>
      </c>
      <c r="AX276" s="4">
        <v>9</v>
      </c>
      <c r="AY276" s="2" t="s">
        <v>676</v>
      </c>
      <c r="AZ276" s="2" t="s">
        <v>92</v>
      </c>
      <c r="BA276" s="2" t="s">
        <v>677</v>
      </c>
      <c r="BB276" s="2" t="s">
        <v>4942</v>
      </c>
      <c r="BC276" s="2" t="s">
        <v>86</v>
      </c>
      <c r="BD276" s="2" t="s">
        <v>86</v>
      </c>
      <c r="BE276" s="2" t="s">
        <v>86</v>
      </c>
      <c r="BF276" s="2" t="s">
        <v>86</v>
      </c>
      <c r="BG276" s="2" t="s">
        <v>95</v>
      </c>
      <c r="BH276" s="2" t="s">
        <v>4943</v>
      </c>
      <c r="BI276" s="2" t="str">
        <f>HYPERLINK("https%3A%2F%2Fwww.webofscience.com%2Fwos%2Fwoscc%2Ffull-record%2FWOS:000226305800003","View Full Record in Web of Science")</f>
        <v>View Full Record in Web of Science</v>
      </c>
    </row>
    <row r="277" spans="1:61" customFormat="1" ht="12.75" x14ac:dyDescent="0.2">
      <c r="A277" s="1">
        <v>274</v>
      </c>
      <c r="B277" s="1" t="s">
        <v>1068</v>
      </c>
      <c r="C277" s="1" t="s">
        <v>4944</v>
      </c>
      <c r="D277" s="2" t="s">
        <v>4945</v>
      </c>
      <c r="E277" s="2" t="s">
        <v>4946</v>
      </c>
      <c r="F277" s="3" t="str">
        <f>HYPERLINK("http://dx.doi.org/10.1002/pc.26729","http://dx.doi.org/10.1002/pc.26729")</f>
        <v>http://dx.doi.org/10.1002/pc.26729</v>
      </c>
      <c r="G277" s="2" t="s">
        <v>200</v>
      </c>
      <c r="H277" s="2" t="s">
        <v>4947</v>
      </c>
      <c r="I277" s="2" t="s">
        <v>4948</v>
      </c>
      <c r="J277" s="2" t="s">
        <v>4949</v>
      </c>
      <c r="K277" s="2" t="s">
        <v>68</v>
      </c>
      <c r="L277" s="2" t="s">
        <v>4950</v>
      </c>
      <c r="M277" s="2" t="s">
        <v>4951</v>
      </c>
      <c r="N277" s="2" t="s">
        <v>4952</v>
      </c>
      <c r="O277" s="2" t="s">
        <v>4953</v>
      </c>
      <c r="P277" s="2" t="s">
        <v>4954</v>
      </c>
      <c r="Q277" s="2" t="s">
        <v>4955</v>
      </c>
      <c r="R277" s="2" t="s">
        <v>4956</v>
      </c>
      <c r="S277" s="2" t="s">
        <v>4957</v>
      </c>
      <c r="T277" s="2" t="s">
        <v>4958</v>
      </c>
      <c r="U277" s="2" t="s">
        <v>2572</v>
      </c>
      <c r="V277" s="2" t="s">
        <v>4959</v>
      </c>
      <c r="W277" s="2" t="s">
        <v>80</v>
      </c>
      <c r="X277" s="4">
        <v>70</v>
      </c>
      <c r="Y277" s="4">
        <v>4</v>
      </c>
      <c r="Z277" s="4">
        <v>4</v>
      </c>
      <c r="AA277" s="4">
        <v>7</v>
      </c>
      <c r="AB277" s="4">
        <v>30</v>
      </c>
      <c r="AC277" s="2" t="s">
        <v>956</v>
      </c>
      <c r="AD277" s="2" t="s">
        <v>957</v>
      </c>
      <c r="AE277" s="2" t="s">
        <v>958</v>
      </c>
      <c r="AF277" s="2" t="s">
        <v>4960</v>
      </c>
      <c r="AG277" s="2" t="s">
        <v>4961</v>
      </c>
      <c r="AH277" s="2" t="s">
        <v>86</v>
      </c>
      <c r="AI277" s="2" t="s">
        <v>4962</v>
      </c>
      <c r="AJ277" s="2" t="s">
        <v>4963</v>
      </c>
      <c r="AK277" s="2" t="s">
        <v>873</v>
      </c>
      <c r="AL277" s="4">
        <v>2022</v>
      </c>
      <c r="AM277" s="4">
        <v>43</v>
      </c>
      <c r="AN277" s="4">
        <v>10</v>
      </c>
      <c r="AO277" s="2" t="s">
        <v>86</v>
      </c>
      <c r="AP277" s="2" t="s">
        <v>86</v>
      </c>
      <c r="AQ277" s="2" t="s">
        <v>86</v>
      </c>
      <c r="AR277" s="2" t="s">
        <v>86</v>
      </c>
      <c r="AS277" s="4">
        <v>6838</v>
      </c>
      <c r="AT277" s="4">
        <v>6853</v>
      </c>
      <c r="AU277" s="2" t="s">
        <v>86</v>
      </c>
      <c r="AV277" s="2" t="s">
        <v>86</v>
      </c>
      <c r="AW277" s="2" t="s">
        <v>343</v>
      </c>
      <c r="AX277" s="4">
        <v>16</v>
      </c>
      <c r="AY277" s="2" t="s">
        <v>4964</v>
      </c>
      <c r="AZ277" s="2" t="s">
        <v>92</v>
      </c>
      <c r="BA277" s="2" t="s">
        <v>4304</v>
      </c>
      <c r="BB277" s="2" t="s">
        <v>4965</v>
      </c>
      <c r="BC277" s="2" t="s">
        <v>86</v>
      </c>
      <c r="BD277" s="2" t="s">
        <v>86</v>
      </c>
      <c r="BE277" s="2" t="s">
        <v>86</v>
      </c>
      <c r="BF277" s="2" t="s">
        <v>86</v>
      </c>
      <c r="BG277" s="2" t="s">
        <v>95</v>
      </c>
      <c r="BH277" s="2" t="s">
        <v>4966</v>
      </c>
      <c r="BI277" s="2" t="str">
        <f>HYPERLINK("https%3A%2F%2Fwww.webofscience.com%2Fwos%2Fwoscc%2Ffull-record%2FWOS:000794264600001","View Full Record in Web of Science")</f>
        <v>View Full Record in Web of Science</v>
      </c>
    </row>
    <row r="278" spans="1:61" customFormat="1" ht="12.75" x14ac:dyDescent="0.2">
      <c r="A278" s="1">
        <v>275</v>
      </c>
      <c r="B278" s="1" t="s">
        <v>1068</v>
      </c>
      <c r="C278" s="1" t="s">
        <v>4967</v>
      </c>
      <c r="D278" s="2" t="s">
        <v>4968</v>
      </c>
      <c r="E278" s="2" t="s">
        <v>4969</v>
      </c>
      <c r="F278" s="3" t="str">
        <f>HYPERLINK("http://dx.doi.org/10.1016/j.scitotenv.2021.149397","http://dx.doi.org/10.1016/j.scitotenv.2021.149397")</f>
        <v>http://dx.doi.org/10.1016/j.scitotenv.2021.149397</v>
      </c>
      <c r="G278" s="2" t="s">
        <v>200</v>
      </c>
      <c r="H278" s="2" t="s">
        <v>4970</v>
      </c>
      <c r="I278" s="2" t="s">
        <v>4971</v>
      </c>
      <c r="J278" s="2" t="s">
        <v>576</v>
      </c>
      <c r="K278" s="2" t="s">
        <v>68</v>
      </c>
      <c r="L278" s="2" t="s">
        <v>4972</v>
      </c>
      <c r="M278" s="2" t="s">
        <v>4973</v>
      </c>
      <c r="N278" s="2" t="s">
        <v>4974</v>
      </c>
      <c r="O278" s="2" t="s">
        <v>4758</v>
      </c>
      <c r="P278" s="2" t="s">
        <v>4759</v>
      </c>
      <c r="Q278" s="2" t="s">
        <v>4760</v>
      </c>
      <c r="R278" s="2" t="s">
        <v>4975</v>
      </c>
      <c r="S278" s="2" t="s">
        <v>4762</v>
      </c>
      <c r="T278" s="2" t="s">
        <v>4976</v>
      </c>
      <c r="U278" s="2" t="s">
        <v>4977</v>
      </c>
      <c r="V278" s="2" t="s">
        <v>4978</v>
      </c>
      <c r="W278" s="2" t="s">
        <v>80</v>
      </c>
      <c r="X278" s="4">
        <v>82</v>
      </c>
      <c r="Y278" s="4">
        <v>32</v>
      </c>
      <c r="Z278" s="4">
        <v>32</v>
      </c>
      <c r="AA278" s="4">
        <v>20</v>
      </c>
      <c r="AB278" s="4">
        <v>77</v>
      </c>
      <c r="AC278" s="2" t="s">
        <v>585</v>
      </c>
      <c r="AD278" s="2" t="s">
        <v>586</v>
      </c>
      <c r="AE278" s="2" t="s">
        <v>587</v>
      </c>
      <c r="AF278" s="2" t="s">
        <v>588</v>
      </c>
      <c r="AG278" s="2" t="s">
        <v>589</v>
      </c>
      <c r="AH278" s="2" t="s">
        <v>86</v>
      </c>
      <c r="AI278" s="2" t="s">
        <v>590</v>
      </c>
      <c r="AJ278" s="2" t="s">
        <v>591</v>
      </c>
      <c r="AK278" s="2" t="s">
        <v>767</v>
      </c>
      <c r="AL278" s="4">
        <v>2021</v>
      </c>
      <c r="AM278" s="4">
        <v>799</v>
      </c>
      <c r="AN278" s="2" t="s">
        <v>86</v>
      </c>
      <c r="AO278" s="2" t="s">
        <v>86</v>
      </c>
      <c r="AP278" s="2" t="s">
        <v>86</v>
      </c>
      <c r="AQ278" s="2" t="s">
        <v>86</v>
      </c>
      <c r="AR278" s="2" t="s">
        <v>86</v>
      </c>
      <c r="AS278" s="2" t="s">
        <v>86</v>
      </c>
      <c r="AT278" s="2" t="s">
        <v>86</v>
      </c>
      <c r="AU278" s="4">
        <v>149397</v>
      </c>
      <c r="AV278" s="2" t="s">
        <v>86</v>
      </c>
      <c r="AW278" s="2" t="s">
        <v>2719</v>
      </c>
      <c r="AX278" s="4">
        <v>15</v>
      </c>
      <c r="AY278" s="2" t="s">
        <v>91</v>
      </c>
      <c r="AZ278" s="2" t="s">
        <v>92</v>
      </c>
      <c r="BA278" s="2" t="s">
        <v>93</v>
      </c>
      <c r="BB278" s="2" t="s">
        <v>4979</v>
      </c>
      <c r="BC278" s="4">
        <v>34371397</v>
      </c>
      <c r="BD278" s="2" t="s">
        <v>86</v>
      </c>
      <c r="BE278" s="2" t="s">
        <v>86</v>
      </c>
      <c r="BF278" s="2" t="s">
        <v>86</v>
      </c>
      <c r="BG278" s="2" t="s">
        <v>95</v>
      </c>
      <c r="BH278" s="2" t="s">
        <v>4980</v>
      </c>
      <c r="BI278" s="2" t="str">
        <f>HYPERLINK("https%3A%2F%2Fwww.webofscience.com%2Fwos%2Fwoscc%2Ffull-record%2FWOS:000701265500016","View Full Record in Web of Science")</f>
        <v>View Full Record in Web of Science</v>
      </c>
    </row>
    <row r="279" spans="1:61" customFormat="1" ht="12.75" x14ac:dyDescent="0.2">
      <c r="A279" s="1">
        <v>276</v>
      </c>
      <c r="B279" s="1" t="s">
        <v>1068</v>
      </c>
      <c r="C279" s="1" t="s">
        <v>4981</v>
      </c>
      <c r="D279" s="2" t="s">
        <v>4982</v>
      </c>
      <c r="E279" s="2" t="s">
        <v>4983</v>
      </c>
      <c r="F279" s="3" t="str">
        <f>HYPERLINK("http://dx.doi.org/10.1016/j.msec.2016.12.090","http://dx.doi.org/10.1016/j.msec.2016.12.090")</f>
        <v>http://dx.doi.org/10.1016/j.msec.2016.12.090</v>
      </c>
      <c r="G279" s="2" t="s">
        <v>200</v>
      </c>
      <c r="H279" s="2" t="s">
        <v>4984</v>
      </c>
      <c r="I279" s="2" t="s">
        <v>4985</v>
      </c>
      <c r="J279" s="2" t="s">
        <v>4986</v>
      </c>
      <c r="K279" s="2" t="s">
        <v>68</v>
      </c>
      <c r="L279" s="2" t="s">
        <v>4987</v>
      </c>
      <c r="M279" s="2" t="s">
        <v>4988</v>
      </c>
      <c r="N279" s="2" t="s">
        <v>4989</v>
      </c>
      <c r="O279" s="2" t="s">
        <v>4990</v>
      </c>
      <c r="P279" s="2" t="s">
        <v>4991</v>
      </c>
      <c r="Q279" s="2" t="s">
        <v>4992</v>
      </c>
      <c r="R279" s="2" t="s">
        <v>4993</v>
      </c>
      <c r="S279" s="2" t="s">
        <v>4994</v>
      </c>
      <c r="T279" s="2" t="s">
        <v>4995</v>
      </c>
      <c r="U279" s="2" t="s">
        <v>4996</v>
      </c>
      <c r="V279" s="2" t="s">
        <v>4997</v>
      </c>
      <c r="W279" s="2" t="s">
        <v>80</v>
      </c>
      <c r="X279" s="4">
        <v>51</v>
      </c>
      <c r="Y279" s="4">
        <v>41</v>
      </c>
      <c r="Z279" s="4">
        <v>43</v>
      </c>
      <c r="AA279" s="4">
        <v>9</v>
      </c>
      <c r="AB279" s="4">
        <v>117</v>
      </c>
      <c r="AC279" s="2" t="s">
        <v>4555</v>
      </c>
      <c r="AD279" s="2" t="s">
        <v>586</v>
      </c>
      <c r="AE279" s="2" t="s">
        <v>4556</v>
      </c>
      <c r="AF279" s="2" t="s">
        <v>4998</v>
      </c>
      <c r="AG279" s="2" t="s">
        <v>4999</v>
      </c>
      <c r="AH279" s="2" t="s">
        <v>86</v>
      </c>
      <c r="AI279" s="2" t="s">
        <v>5000</v>
      </c>
      <c r="AJ279" s="2" t="s">
        <v>5001</v>
      </c>
      <c r="AK279" s="2" t="s">
        <v>5002</v>
      </c>
      <c r="AL279" s="4">
        <v>2017</v>
      </c>
      <c r="AM279" s="4">
        <v>73</v>
      </c>
      <c r="AN279" s="2" t="s">
        <v>86</v>
      </c>
      <c r="AO279" s="2" t="s">
        <v>86</v>
      </c>
      <c r="AP279" s="2" t="s">
        <v>86</v>
      </c>
      <c r="AQ279" s="2" t="s">
        <v>86</v>
      </c>
      <c r="AR279" s="2" t="s">
        <v>86</v>
      </c>
      <c r="AS279" s="4">
        <v>603</v>
      </c>
      <c r="AT279" s="4">
        <v>610</v>
      </c>
      <c r="AU279" s="2" t="s">
        <v>86</v>
      </c>
      <c r="AV279" s="2" t="s">
        <v>86</v>
      </c>
      <c r="AW279" s="2" t="s">
        <v>86</v>
      </c>
      <c r="AX279" s="4">
        <v>8</v>
      </c>
      <c r="AY279" s="2" t="s">
        <v>5003</v>
      </c>
      <c r="AZ279" s="2" t="s">
        <v>92</v>
      </c>
      <c r="BA279" s="2" t="s">
        <v>3123</v>
      </c>
      <c r="BB279" s="2" t="s">
        <v>5004</v>
      </c>
      <c r="BC279" s="4">
        <v>28183651</v>
      </c>
      <c r="BD279" s="2" t="s">
        <v>86</v>
      </c>
      <c r="BE279" s="2" t="s">
        <v>86</v>
      </c>
      <c r="BF279" s="2" t="s">
        <v>86</v>
      </c>
      <c r="BG279" s="2" t="s">
        <v>95</v>
      </c>
      <c r="BH279" s="2" t="s">
        <v>5005</v>
      </c>
      <c r="BI279" s="2" t="str">
        <f>HYPERLINK("https%3A%2F%2Fwww.webofscience.com%2Fwos%2Fwoscc%2Ffull-record%2FWOS:000394064800071","View Full Record in Web of Science")</f>
        <v>View Full Record in Web of Science</v>
      </c>
    </row>
    <row r="280" spans="1:61" customFormat="1" ht="12.75" x14ac:dyDescent="0.2">
      <c r="A280" s="1">
        <v>277</v>
      </c>
      <c r="B280" s="1" t="s">
        <v>1068</v>
      </c>
      <c r="C280" s="1" t="s">
        <v>5006</v>
      </c>
      <c r="D280" s="2" t="s">
        <v>5007</v>
      </c>
      <c r="E280" s="2" t="s">
        <v>5008</v>
      </c>
      <c r="F280" s="3" t="str">
        <f>HYPERLINK("http://dx.doi.org/10.1007/s10661-006-9519-8","http://dx.doi.org/10.1007/s10661-006-9519-8")</f>
        <v>http://dx.doi.org/10.1007/s10661-006-9519-8</v>
      </c>
      <c r="G280" s="2" t="s">
        <v>200</v>
      </c>
      <c r="H280" s="2" t="s">
        <v>5009</v>
      </c>
      <c r="I280" s="2" t="s">
        <v>5010</v>
      </c>
      <c r="J280" s="2" t="s">
        <v>401</v>
      </c>
      <c r="K280" s="2" t="s">
        <v>68</v>
      </c>
      <c r="L280" s="2" t="s">
        <v>5011</v>
      </c>
      <c r="M280" s="2" t="s">
        <v>5012</v>
      </c>
      <c r="N280" s="2" t="s">
        <v>5013</v>
      </c>
      <c r="O280" s="2" t="s">
        <v>2401</v>
      </c>
      <c r="P280" s="2" t="s">
        <v>5014</v>
      </c>
      <c r="Q280" s="2" t="s">
        <v>5015</v>
      </c>
      <c r="R280" s="2" t="s">
        <v>5016</v>
      </c>
      <c r="S280" s="2" t="s">
        <v>5017</v>
      </c>
      <c r="T280" s="2" t="s">
        <v>86</v>
      </c>
      <c r="U280" s="2" t="s">
        <v>86</v>
      </c>
      <c r="V280" s="2" t="s">
        <v>86</v>
      </c>
      <c r="W280" s="2" t="s">
        <v>80</v>
      </c>
      <c r="X280" s="4">
        <v>34</v>
      </c>
      <c r="Y280" s="4">
        <v>21</v>
      </c>
      <c r="Z280" s="4">
        <v>22</v>
      </c>
      <c r="AA280" s="4">
        <v>0</v>
      </c>
      <c r="AB280" s="4">
        <v>16</v>
      </c>
      <c r="AC280" s="2" t="s">
        <v>139</v>
      </c>
      <c r="AD280" s="2" t="s">
        <v>140</v>
      </c>
      <c r="AE280" s="2" t="s">
        <v>141</v>
      </c>
      <c r="AF280" s="2" t="s">
        <v>412</v>
      </c>
      <c r="AG280" s="2" t="s">
        <v>413</v>
      </c>
      <c r="AH280" s="2" t="s">
        <v>86</v>
      </c>
      <c r="AI280" s="2" t="s">
        <v>414</v>
      </c>
      <c r="AJ280" s="2" t="s">
        <v>415</v>
      </c>
      <c r="AK280" s="2" t="s">
        <v>146</v>
      </c>
      <c r="AL280" s="4">
        <v>2007</v>
      </c>
      <c r="AM280" s="4">
        <v>125</v>
      </c>
      <c r="AN280" s="2" t="s">
        <v>5018</v>
      </c>
      <c r="AO280" s="2" t="s">
        <v>86</v>
      </c>
      <c r="AP280" s="2" t="s">
        <v>86</v>
      </c>
      <c r="AQ280" s="2" t="s">
        <v>86</v>
      </c>
      <c r="AR280" s="2" t="s">
        <v>86</v>
      </c>
      <c r="AS280" s="4">
        <v>271</v>
      </c>
      <c r="AT280" s="4">
        <v>279</v>
      </c>
      <c r="AU280" s="2" t="s">
        <v>86</v>
      </c>
      <c r="AV280" s="2" t="s">
        <v>86</v>
      </c>
      <c r="AW280" s="2" t="s">
        <v>86</v>
      </c>
      <c r="AX280" s="4">
        <v>9</v>
      </c>
      <c r="AY280" s="2" t="s">
        <v>91</v>
      </c>
      <c r="AZ280" s="2" t="s">
        <v>92</v>
      </c>
      <c r="BA280" s="2" t="s">
        <v>93</v>
      </c>
      <c r="BB280" s="2" t="s">
        <v>5019</v>
      </c>
      <c r="BC280" s="4">
        <v>17219241</v>
      </c>
      <c r="BD280" s="2" t="s">
        <v>86</v>
      </c>
      <c r="BE280" s="2" t="s">
        <v>86</v>
      </c>
      <c r="BF280" s="2" t="s">
        <v>86</v>
      </c>
      <c r="BG280" s="2" t="s">
        <v>95</v>
      </c>
      <c r="BH280" s="2" t="s">
        <v>5020</v>
      </c>
      <c r="BI280" s="2" t="str">
        <f>HYPERLINK("https%3A%2F%2Fwww.webofscience.com%2Fwos%2Fwoscc%2Ffull-record%2FWOS:000243970000028","View Full Record in Web of Science")</f>
        <v>View Full Record in Web of Science</v>
      </c>
    </row>
    <row r="281" spans="1:61" customFormat="1" ht="12.75" x14ac:dyDescent="0.2">
      <c r="A281" s="1">
        <v>278</v>
      </c>
      <c r="B281" s="1" t="s">
        <v>1068</v>
      </c>
      <c r="C281" s="1" t="s">
        <v>5021</v>
      </c>
      <c r="D281" s="2" t="s">
        <v>5022</v>
      </c>
      <c r="E281" s="2" t="s">
        <v>5023</v>
      </c>
      <c r="F281" s="3" t="str">
        <f>HYPERLINK("http://dx.doi.org/10.1016/j.nima.2018.04.059","http://dx.doi.org/10.1016/j.nima.2018.04.059")</f>
        <v>http://dx.doi.org/10.1016/j.nima.2018.04.059</v>
      </c>
      <c r="G281" s="2" t="s">
        <v>200</v>
      </c>
      <c r="H281" s="2" t="s">
        <v>4545</v>
      </c>
      <c r="I281" s="2" t="s">
        <v>4546</v>
      </c>
      <c r="J281" s="2" t="s">
        <v>4524</v>
      </c>
      <c r="K281" s="2" t="s">
        <v>68</v>
      </c>
      <c r="L281" s="2" t="s">
        <v>5024</v>
      </c>
      <c r="M281" s="2" t="s">
        <v>86</v>
      </c>
      <c r="N281" s="2" t="s">
        <v>4549</v>
      </c>
      <c r="O281" s="2" t="s">
        <v>4550</v>
      </c>
      <c r="P281" s="2" t="s">
        <v>5025</v>
      </c>
      <c r="Q281" s="2" t="s">
        <v>4552</v>
      </c>
      <c r="R281" s="2" t="s">
        <v>4553</v>
      </c>
      <c r="S281" s="2" t="s">
        <v>4554</v>
      </c>
      <c r="T281" s="2" t="s">
        <v>86</v>
      </c>
      <c r="U281" s="2" t="s">
        <v>86</v>
      </c>
      <c r="V281" s="2" t="s">
        <v>86</v>
      </c>
      <c r="W281" s="2" t="s">
        <v>80</v>
      </c>
      <c r="X281" s="4">
        <v>16</v>
      </c>
      <c r="Y281" s="4">
        <v>8</v>
      </c>
      <c r="Z281" s="4">
        <v>8</v>
      </c>
      <c r="AA281" s="4">
        <v>1</v>
      </c>
      <c r="AB281" s="4">
        <v>9</v>
      </c>
      <c r="AC281" s="2" t="s">
        <v>4555</v>
      </c>
      <c r="AD281" s="2" t="s">
        <v>586</v>
      </c>
      <c r="AE281" s="2" t="s">
        <v>4556</v>
      </c>
      <c r="AF281" s="2" t="s">
        <v>4533</v>
      </c>
      <c r="AG281" s="2" t="s">
        <v>4534</v>
      </c>
      <c r="AH281" s="2" t="s">
        <v>86</v>
      </c>
      <c r="AI281" s="2" t="s">
        <v>4535</v>
      </c>
      <c r="AJ281" s="2" t="s">
        <v>4536</v>
      </c>
      <c r="AK281" s="2" t="s">
        <v>592</v>
      </c>
      <c r="AL281" s="4">
        <v>2018</v>
      </c>
      <c r="AM281" s="4">
        <v>898</v>
      </c>
      <c r="AN281" s="2" t="s">
        <v>86</v>
      </c>
      <c r="AO281" s="2" t="s">
        <v>86</v>
      </c>
      <c r="AP281" s="2" t="s">
        <v>86</v>
      </c>
      <c r="AQ281" s="2" t="s">
        <v>86</v>
      </c>
      <c r="AR281" s="2" t="s">
        <v>86</v>
      </c>
      <c r="AS281" s="4">
        <v>30</v>
      </c>
      <c r="AT281" s="4">
        <v>39</v>
      </c>
      <c r="AU281" s="2" t="s">
        <v>86</v>
      </c>
      <c r="AV281" s="2" t="s">
        <v>86</v>
      </c>
      <c r="AW281" s="2" t="s">
        <v>86</v>
      </c>
      <c r="AX281" s="4">
        <v>10</v>
      </c>
      <c r="AY281" s="2" t="s">
        <v>4538</v>
      </c>
      <c r="AZ281" s="2" t="s">
        <v>92</v>
      </c>
      <c r="BA281" s="2" t="s">
        <v>4539</v>
      </c>
      <c r="BB281" s="2" t="s">
        <v>5026</v>
      </c>
      <c r="BC281" s="2" t="s">
        <v>86</v>
      </c>
      <c r="BD281" s="2" t="s">
        <v>497</v>
      </c>
      <c r="BE281" s="2" t="s">
        <v>86</v>
      </c>
      <c r="BF281" s="2" t="s">
        <v>86</v>
      </c>
      <c r="BG281" s="2" t="s">
        <v>95</v>
      </c>
      <c r="BH281" s="2" t="s">
        <v>5027</v>
      </c>
      <c r="BI281" s="2" t="str">
        <f>HYPERLINK("https%3A%2F%2Fwww.webofscience.com%2Fwos%2Fwoscc%2Ffull-record%2FWOS:000434781800005","View Full Record in Web of Science")</f>
        <v>View Full Record in Web of Science</v>
      </c>
    </row>
    <row r="282" spans="1:61" customFormat="1" ht="12.75" x14ac:dyDescent="0.2">
      <c r="A282" s="1">
        <v>279</v>
      </c>
      <c r="B282" s="1" t="s">
        <v>1068</v>
      </c>
      <c r="C282" s="1" t="s">
        <v>5028</v>
      </c>
      <c r="D282" s="2" t="s">
        <v>5029</v>
      </c>
      <c r="E282" s="2" t="s">
        <v>5030</v>
      </c>
      <c r="F282" s="3" t="str">
        <f>HYPERLINK("http://dx.doi.org/10.1111/reel.12267","http://dx.doi.org/10.1111/reel.12267")</f>
        <v>http://dx.doi.org/10.1111/reel.12267</v>
      </c>
      <c r="G282" s="2" t="s">
        <v>200</v>
      </c>
      <c r="H282" s="2" t="s">
        <v>5031</v>
      </c>
      <c r="I282" s="2" t="s">
        <v>5032</v>
      </c>
      <c r="J282" s="2" t="s">
        <v>5033</v>
      </c>
      <c r="K282" s="2" t="s">
        <v>68</v>
      </c>
      <c r="L282" s="2" t="s">
        <v>86</v>
      </c>
      <c r="M282" s="2" t="s">
        <v>5034</v>
      </c>
      <c r="N282" s="2" t="s">
        <v>5035</v>
      </c>
      <c r="O282" s="2" t="s">
        <v>5036</v>
      </c>
      <c r="P282" s="2" t="s">
        <v>5037</v>
      </c>
      <c r="Q282" s="2" t="s">
        <v>5038</v>
      </c>
      <c r="R282" s="2" t="s">
        <v>5039</v>
      </c>
      <c r="S282" s="2" t="s">
        <v>5040</v>
      </c>
      <c r="T282" s="2" t="s">
        <v>86</v>
      </c>
      <c r="U282" s="2" t="s">
        <v>86</v>
      </c>
      <c r="V282" s="2" t="s">
        <v>86</v>
      </c>
      <c r="W282" s="2" t="s">
        <v>80</v>
      </c>
      <c r="X282" s="4">
        <v>34</v>
      </c>
      <c r="Y282" s="4">
        <v>14</v>
      </c>
      <c r="Z282" s="4">
        <v>14</v>
      </c>
      <c r="AA282" s="4">
        <v>0</v>
      </c>
      <c r="AB282" s="4">
        <v>19</v>
      </c>
      <c r="AC282" s="2" t="s">
        <v>956</v>
      </c>
      <c r="AD282" s="2" t="s">
        <v>957</v>
      </c>
      <c r="AE282" s="2" t="s">
        <v>958</v>
      </c>
      <c r="AF282" s="2" t="s">
        <v>5041</v>
      </c>
      <c r="AG282" s="2" t="s">
        <v>5042</v>
      </c>
      <c r="AH282" s="2" t="s">
        <v>86</v>
      </c>
      <c r="AI282" s="2" t="s">
        <v>5043</v>
      </c>
      <c r="AJ282" s="2" t="s">
        <v>5044</v>
      </c>
      <c r="AK282" s="2" t="s">
        <v>121</v>
      </c>
      <c r="AL282" s="4">
        <v>2018</v>
      </c>
      <c r="AM282" s="4">
        <v>27</v>
      </c>
      <c r="AN282" s="4">
        <v>3</v>
      </c>
      <c r="AO282" s="2" t="s">
        <v>86</v>
      </c>
      <c r="AP282" s="2" t="s">
        <v>86</v>
      </c>
      <c r="AQ282" s="2" t="s">
        <v>86</v>
      </c>
      <c r="AR282" s="2" t="s">
        <v>86</v>
      </c>
      <c r="AS282" s="4">
        <v>210</v>
      </c>
      <c r="AT282" s="4">
        <v>221</v>
      </c>
      <c r="AU282" s="2" t="s">
        <v>86</v>
      </c>
      <c r="AV282" s="2" t="s">
        <v>86</v>
      </c>
      <c r="AW282" s="2" t="s">
        <v>86</v>
      </c>
      <c r="AX282" s="4">
        <v>12</v>
      </c>
      <c r="AY282" s="2" t="s">
        <v>5045</v>
      </c>
      <c r="AZ282" s="2" t="s">
        <v>1005</v>
      </c>
      <c r="BA282" s="2" t="s">
        <v>5046</v>
      </c>
      <c r="BB282" s="2" t="s">
        <v>5047</v>
      </c>
      <c r="BC282" s="2" t="s">
        <v>86</v>
      </c>
      <c r="BD282" s="2" t="s">
        <v>86</v>
      </c>
      <c r="BE282" s="2" t="s">
        <v>86</v>
      </c>
      <c r="BF282" s="2" t="s">
        <v>86</v>
      </c>
      <c r="BG282" s="2" t="s">
        <v>95</v>
      </c>
      <c r="BH282" s="2" t="s">
        <v>5048</v>
      </c>
      <c r="BI282" s="2" t="str">
        <f>HYPERLINK("https%3A%2F%2Fwww.webofscience.com%2Fwos%2Fwoscc%2Ffull-record%2FWOS:000453401400002","View Full Record in Web of Science")</f>
        <v>View Full Record in Web of Science</v>
      </c>
    </row>
    <row r="283" spans="1:61" customFormat="1" ht="12.75" x14ac:dyDescent="0.2">
      <c r="A283" s="1">
        <v>280</v>
      </c>
      <c r="B283" s="1" t="s">
        <v>1068</v>
      </c>
      <c r="C283" s="1" t="s">
        <v>5049</v>
      </c>
      <c r="D283" s="2" t="s">
        <v>5050</v>
      </c>
      <c r="E283" s="2" t="s">
        <v>5051</v>
      </c>
      <c r="F283" s="3" t="str">
        <f>HYPERLINK("http://dx.doi.org/10.1002/pen.21372","http://dx.doi.org/10.1002/pen.21372")</f>
        <v>http://dx.doi.org/10.1002/pen.21372</v>
      </c>
      <c r="G283" s="2" t="s">
        <v>200</v>
      </c>
      <c r="H283" s="2" t="s">
        <v>5052</v>
      </c>
      <c r="I283" s="2" t="s">
        <v>5053</v>
      </c>
      <c r="J283" s="2" t="s">
        <v>5054</v>
      </c>
      <c r="K283" s="2" t="s">
        <v>68</v>
      </c>
      <c r="L283" s="2" t="s">
        <v>86</v>
      </c>
      <c r="M283" s="2" t="s">
        <v>203</v>
      </c>
      <c r="N283" s="2" t="s">
        <v>5055</v>
      </c>
      <c r="O283" s="2" t="s">
        <v>5056</v>
      </c>
      <c r="P283" s="2" t="s">
        <v>5057</v>
      </c>
      <c r="Q283" s="2" t="s">
        <v>5058</v>
      </c>
      <c r="R283" s="2" t="s">
        <v>5059</v>
      </c>
      <c r="S283" s="2" t="s">
        <v>5060</v>
      </c>
      <c r="T283" s="2" t="s">
        <v>86</v>
      </c>
      <c r="U283" s="2" t="s">
        <v>86</v>
      </c>
      <c r="V283" s="2" t="s">
        <v>86</v>
      </c>
      <c r="W283" s="2" t="s">
        <v>80</v>
      </c>
      <c r="X283" s="4">
        <v>29</v>
      </c>
      <c r="Y283" s="4">
        <v>5</v>
      </c>
      <c r="Z283" s="4">
        <v>5</v>
      </c>
      <c r="AA283" s="4">
        <v>1</v>
      </c>
      <c r="AB283" s="4">
        <v>23</v>
      </c>
      <c r="AC283" s="2" t="s">
        <v>956</v>
      </c>
      <c r="AD283" s="2" t="s">
        <v>957</v>
      </c>
      <c r="AE283" s="2" t="s">
        <v>958</v>
      </c>
      <c r="AF283" s="2" t="s">
        <v>5061</v>
      </c>
      <c r="AG283" s="2" t="s">
        <v>5062</v>
      </c>
      <c r="AH283" s="2" t="s">
        <v>86</v>
      </c>
      <c r="AI283" s="2" t="s">
        <v>5063</v>
      </c>
      <c r="AJ283" s="2" t="s">
        <v>5064</v>
      </c>
      <c r="AK283" s="2" t="s">
        <v>1458</v>
      </c>
      <c r="AL283" s="4">
        <v>2009</v>
      </c>
      <c r="AM283" s="4">
        <v>49</v>
      </c>
      <c r="AN283" s="4">
        <v>7</v>
      </c>
      <c r="AO283" s="2" t="s">
        <v>86</v>
      </c>
      <c r="AP283" s="2" t="s">
        <v>86</v>
      </c>
      <c r="AQ283" s="2" t="s">
        <v>86</v>
      </c>
      <c r="AR283" s="2" t="s">
        <v>86</v>
      </c>
      <c r="AS283" s="4">
        <v>1311</v>
      </c>
      <c r="AT283" s="4">
        <v>1315</v>
      </c>
      <c r="AU283" s="2" t="s">
        <v>86</v>
      </c>
      <c r="AV283" s="2" t="s">
        <v>86</v>
      </c>
      <c r="AW283" s="2" t="s">
        <v>86</v>
      </c>
      <c r="AX283" s="4">
        <v>5</v>
      </c>
      <c r="AY283" s="2" t="s">
        <v>5065</v>
      </c>
      <c r="AZ283" s="2" t="s">
        <v>92</v>
      </c>
      <c r="BA283" s="2" t="s">
        <v>5066</v>
      </c>
      <c r="BB283" s="2" t="s">
        <v>5067</v>
      </c>
      <c r="BC283" s="2" t="s">
        <v>86</v>
      </c>
      <c r="BD283" s="2" t="s">
        <v>86</v>
      </c>
      <c r="BE283" s="2" t="s">
        <v>86</v>
      </c>
      <c r="BF283" s="2" t="s">
        <v>86</v>
      </c>
      <c r="BG283" s="2" t="s">
        <v>95</v>
      </c>
      <c r="BH283" s="2" t="s">
        <v>5068</v>
      </c>
      <c r="BI283" s="2" t="str">
        <f>HYPERLINK("https%3A%2F%2Fwww.webofscience.com%2Fwos%2Fwoscc%2Ffull-record%2FWOS:000267579200006","View Full Record in Web of Science")</f>
        <v>View Full Record in Web of Science</v>
      </c>
    </row>
    <row r="284" spans="1:61" customFormat="1" ht="12.75" x14ac:dyDescent="0.2">
      <c r="A284" s="1">
        <v>281</v>
      </c>
      <c r="B284" s="1" t="s">
        <v>1068</v>
      </c>
      <c r="C284" s="1" t="s">
        <v>5069</v>
      </c>
      <c r="D284" s="2" t="s">
        <v>5070</v>
      </c>
      <c r="E284" s="2" t="s">
        <v>5071</v>
      </c>
      <c r="F284" s="3" t="str">
        <f>HYPERLINK("http://dx.doi.org/10.1007/s11356-021-13306-w","http://dx.doi.org/10.1007/s11356-021-13306-w")</f>
        <v>http://dx.doi.org/10.1007/s11356-021-13306-w</v>
      </c>
      <c r="G284" s="2" t="s">
        <v>200</v>
      </c>
      <c r="H284" s="2" t="s">
        <v>5072</v>
      </c>
      <c r="I284" s="2" t="s">
        <v>5073</v>
      </c>
      <c r="J284" s="2" t="s">
        <v>67</v>
      </c>
      <c r="K284" s="2" t="s">
        <v>68</v>
      </c>
      <c r="L284" s="2" t="s">
        <v>5074</v>
      </c>
      <c r="M284" s="2" t="s">
        <v>86</v>
      </c>
      <c r="N284" s="2" t="s">
        <v>5075</v>
      </c>
      <c r="O284" s="2" t="s">
        <v>309</v>
      </c>
      <c r="P284" s="2" t="s">
        <v>5076</v>
      </c>
      <c r="Q284" s="2" t="s">
        <v>5077</v>
      </c>
      <c r="R284" s="2" t="s">
        <v>86</v>
      </c>
      <c r="S284" s="2" t="s">
        <v>5078</v>
      </c>
      <c r="T284" s="2" t="s">
        <v>86</v>
      </c>
      <c r="U284" s="2" t="s">
        <v>86</v>
      </c>
      <c r="V284" s="2" t="s">
        <v>86</v>
      </c>
      <c r="W284" s="2" t="s">
        <v>80</v>
      </c>
      <c r="X284" s="4">
        <v>46</v>
      </c>
      <c r="Y284" s="4">
        <v>6</v>
      </c>
      <c r="Z284" s="4">
        <v>6</v>
      </c>
      <c r="AA284" s="4">
        <v>5</v>
      </c>
      <c r="AB284" s="4">
        <v>23</v>
      </c>
      <c r="AC284" s="2" t="s">
        <v>81</v>
      </c>
      <c r="AD284" s="2" t="s">
        <v>82</v>
      </c>
      <c r="AE284" s="2" t="s">
        <v>83</v>
      </c>
      <c r="AF284" s="2" t="s">
        <v>84</v>
      </c>
      <c r="AG284" s="2" t="s">
        <v>85</v>
      </c>
      <c r="AH284" s="2" t="s">
        <v>86</v>
      </c>
      <c r="AI284" s="2" t="s">
        <v>87</v>
      </c>
      <c r="AJ284" s="2" t="s">
        <v>88</v>
      </c>
      <c r="AK284" s="2" t="s">
        <v>1458</v>
      </c>
      <c r="AL284" s="4">
        <v>2021</v>
      </c>
      <c r="AM284" s="4">
        <v>28</v>
      </c>
      <c r="AN284" s="4">
        <v>26</v>
      </c>
      <c r="AO284" s="2" t="s">
        <v>86</v>
      </c>
      <c r="AP284" s="2" t="s">
        <v>86</v>
      </c>
      <c r="AQ284" s="2" t="s">
        <v>86</v>
      </c>
      <c r="AR284" s="2" t="s">
        <v>86</v>
      </c>
      <c r="AS284" s="4">
        <v>35145</v>
      </c>
      <c r="AT284" s="4">
        <v>35156</v>
      </c>
      <c r="AU284" s="2" t="s">
        <v>86</v>
      </c>
      <c r="AV284" s="2" t="s">
        <v>86</v>
      </c>
      <c r="AW284" s="2" t="s">
        <v>1025</v>
      </c>
      <c r="AX284" s="4">
        <v>12</v>
      </c>
      <c r="AY284" s="2" t="s">
        <v>91</v>
      </c>
      <c r="AZ284" s="2" t="s">
        <v>92</v>
      </c>
      <c r="BA284" s="2" t="s">
        <v>93</v>
      </c>
      <c r="BB284" s="2" t="s">
        <v>5079</v>
      </c>
      <c r="BC284" s="4">
        <v>33666851</v>
      </c>
      <c r="BD284" s="2" t="s">
        <v>86</v>
      </c>
      <c r="BE284" s="2" t="s">
        <v>86</v>
      </c>
      <c r="BF284" s="2" t="s">
        <v>86</v>
      </c>
      <c r="BG284" s="2" t="s">
        <v>95</v>
      </c>
      <c r="BH284" s="2" t="s">
        <v>5080</v>
      </c>
      <c r="BI284" s="2" t="str">
        <f>HYPERLINK("https%3A%2F%2Fwww.webofscience.com%2Fwos%2Fwoscc%2Ffull-record%2FWOS:000625616400017","View Full Record in Web of Science")</f>
        <v>View Full Record in Web of Science</v>
      </c>
    </row>
    <row r="285" spans="1:61" customFormat="1" ht="12.75" x14ac:dyDescent="0.2">
      <c r="A285" s="1">
        <v>282</v>
      </c>
      <c r="B285" s="1" t="s">
        <v>1068</v>
      </c>
      <c r="C285" s="1" t="s">
        <v>5081</v>
      </c>
      <c r="D285" s="2" t="s">
        <v>5082</v>
      </c>
      <c r="E285" s="2" t="s">
        <v>5083</v>
      </c>
      <c r="F285" s="3" t="str">
        <f>HYPERLINK("http://dx.doi.org/10.1002/er.8361","http://dx.doi.org/10.1002/er.8361")</f>
        <v>http://dx.doi.org/10.1002/er.8361</v>
      </c>
      <c r="G285" s="2" t="s">
        <v>200</v>
      </c>
      <c r="H285" s="2" t="s">
        <v>5084</v>
      </c>
      <c r="I285" s="2" t="s">
        <v>5085</v>
      </c>
      <c r="J285" s="2" t="s">
        <v>5086</v>
      </c>
      <c r="K285" s="2" t="s">
        <v>68</v>
      </c>
      <c r="L285" s="2" t="s">
        <v>5087</v>
      </c>
      <c r="M285" s="2" t="s">
        <v>5088</v>
      </c>
      <c r="N285" s="2" t="s">
        <v>5089</v>
      </c>
      <c r="O285" s="2" t="s">
        <v>5090</v>
      </c>
      <c r="P285" s="2" t="s">
        <v>5091</v>
      </c>
      <c r="Q285" s="2" t="s">
        <v>5092</v>
      </c>
      <c r="R285" s="2" t="s">
        <v>5093</v>
      </c>
      <c r="S285" s="2" t="s">
        <v>86</v>
      </c>
      <c r="T285" s="2" t="s">
        <v>5094</v>
      </c>
      <c r="U285" s="2" t="s">
        <v>5095</v>
      </c>
      <c r="V285" s="2" t="s">
        <v>5096</v>
      </c>
      <c r="W285" s="2" t="s">
        <v>80</v>
      </c>
      <c r="X285" s="4">
        <v>109</v>
      </c>
      <c r="Y285" s="4">
        <v>0</v>
      </c>
      <c r="Z285" s="4">
        <v>0</v>
      </c>
      <c r="AA285" s="4">
        <v>1</v>
      </c>
      <c r="AB285" s="4">
        <v>13</v>
      </c>
      <c r="AC285" s="2" t="s">
        <v>5097</v>
      </c>
      <c r="AD285" s="2" t="s">
        <v>605</v>
      </c>
      <c r="AE285" s="2" t="s">
        <v>5098</v>
      </c>
      <c r="AF285" s="2" t="s">
        <v>5099</v>
      </c>
      <c r="AG285" s="2" t="s">
        <v>5100</v>
      </c>
      <c r="AH285" s="2" t="s">
        <v>86</v>
      </c>
      <c r="AI285" s="2" t="s">
        <v>5101</v>
      </c>
      <c r="AJ285" s="2" t="s">
        <v>5102</v>
      </c>
      <c r="AK285" s="2" t="s">
        <v>4440</v>
      </c>
      <c r="AL285" s="4">
        <v>2022</v>
      </c>
      <c r="AM285" s="4">
        <v>46</v>
      </c>
      <c r="AN285" s="4">
        <v>12</v>
      </c>
      <c r="AO285" s="2" t="s">
        <v>86</v>
      </c>
      <c r="AP285" s="2" t="s">
        <v>86</v>
      </c>
      <c r="AQ285" s="2" t="s">
        <v>86</v>
      </c>
      <c r="AR285" s="2" t="s">
        <v>86</v>
      </c>
      <c r="AS285" s="4">
        <v>16959</v>
      </c>
      <c r="AT285" s="4">
        <v>16978</v>
      </c>
      <c r="AU285" s="2" t="s">
        <v>86</v>
      </c>
      <c r="AV285" s="2" t="s">
        <v>86</v>
      </c>
      <c r="AW285" s="2" t="s">
        <v>1982</v>
      </c>
      <c r="AX285" s="4">
        <v>20</v>
      </c>
      <c r="AY285" s="2" t="s">
        <v>5103</v>
      </c>
      <c r="AZ285" s="2" t="s">
        <v>92</v>
      </c>
      <c r="BA285" s="2" t="s">
        <v>5103</v>
      </c>
      <c r="BB285" s="2" t="s">
        <v>5104</v>
      </c>
      <c r="BC285" s="2" t="s">
        <v>86</v>
      </c>
      <c r="BD285" s="2" t="s">
        <v>86</v>
      </c>
      <c r="BE285" s="2" t="s">
        <v>86</v>
      </c>
      <c r="BF285" s="2" t="s">
        <v>86</v>
      </c>
      <c r="BG285" s="2" t="s">
        <v>95</v>
      </c>
      <c r="BH285" s="2" t="s">
        <v>5105</v>
      </c>
      <c r="BI285" s="2" t="str">
        <f>HYPERLINK("https%3A%2F%2Fwww.webofscience.com%2Fwos%2Fwoscc%2Ffull-record%2FWOS:000830203200001","View Full Record in Web of Science")</f>
        <v>View Full Record in Web of Science</v>
      </c>
    </row>
    <row r="286" spans="1:61" customFormat="1" ht="12.75" x14ac:dyDescent="0.2">
      <c r="A286" s="1">
        <v>283</v>
      </c>
      <c r="B286" s="1" t="s">
        <v>1068</v>
      </c>
      <c r="C286" s="1" t="s">
        <v>5106</v>
      </c>
      <c r="D286" s="2" t="s">
        <v>5107</v>
      </c>
      <c r="E286" s="2" t="s">
        <v>86</v>
      </c>
      <c r="F286" s="2" t="s">
        <v>86</v>
      </c>
      <c r="G286" s="2" t="s">
        <v>176</v>
      </c>
      <c r="H286" s="2" t="s">
        <v>5108</v>
      </c>
      <c r="I286" s="2" t="s">
        <v>5109</v>
      </c>
      <c r="J286" s="2" t="s">
        <v>179</v>
      </c>
      <c r="K286" s="2" t="s">
        <v>68</v>
      </c>
      <c r="L286" s="2" t="s">
        <v>5110</v>
      </c>
      <c r="M286" s="2" t="s">
        <v>5111</v>
      </c>
      <c r="N286" s="2" t="s">
        <v>5112</v>
      </c>
      <c r="O286" s="2" t="s">
        <v>687</v>
      </c>
      <c r="P286" s="2" t="s">
        <v>5113</v>
      </c>
      <c r="Q286" s="2" t="s">
        <v>2428</v>
      </c>
      <c r="R286" s="2" t="s">
        <v>86</v>
      </c>
      <c r="S286" s="2" t="s">
        <v>86</v>
      </c>
      <c r="T286" s="2" t="s">
        <v>86</v>
      </c>
      <c r="U286" s="2" t="s">
        <v>86</v>
      </c>
      <c r="V286" s="2" t="s">
        <v>86</v>
      </c>
      <c r="W286" s="2" t="s">
        <v>188</v>
      </c>
      <c r="X286" s="4">
        <v>17</v>
      </c>
      <c r="Y286" s="4">
        <v>1</v>
      </c>
      <c r="Z286" s="4">
        <v>1</v>
      </c>
      <c r="AA286" s="4">
        <v>0</v>
      </c>
      <c r="AB286" s="4">
        <v>0</v>
      </c>
      <c r="AC286" s="2" t="s">
        <v>189</v>
      </c>
      <c r="AD286" s="2" t="s">
        <v>165</v>
      </c>
      <c r="AE286" s="2" t="s">
        <v>190</v>
      </c>
      <c r="AF286" s="2" t="s">
        <v>86</v>
      </c>
      <c r="AG286" s="2" t="s">
        <v>86</v>
      </c>
      <c r="AH286" s="2" t="s">
        <v>191</v>
      </c>
      <c r="AI286" s="2" t="s">
        <v>192</v>
      </c>
      <c r="AJ286" s="2" t="s">
        <v>86</v>
      </c>
      <c r="AK286" s="2" t="s">
        <v>86</v>
      </c>
      <c r="AL286" s="4">
        <v>2020</v>
      </c>
      <c r="AM286" s="4">
        <v>56</v>
      </c>
      <c r="AN286" s="2" t="s">
        <v>86</v>
      </c>
      <c r="AO286" s="2" t="s">
        <v>86</v>
      </c>
      <c r="AP286" s="2" t="s">
        <v>86</v>
      </c>
      <c r="AQ286" s="2" t="s">
        <v>86</v>
      </c>
      <c r="AR286" s="2" t="s">
        <v>86</v>
      </c>
      <c r="AS286" s="4">
        <v>63</v>
      </c>
      <c r="AT286" s="4">
        <v>73</v>
      </c>
      <c r="AU286" s="2" t="s">
        <v>86</v>
      </c>
      <c r="AV286" s="2" t="s">
        <v>86</v>
      </c>
      <c r="AW286" s="2" t="s">
        <v>86</v>
      </c>
      <c r="AX286" s="4">
        <v>11</v>
      </c>
      <c r="AY286" s="2" t="s">
        <v>193</v>
      </c>
      <c r="AZ286" s="2" t="s">
        <v>194</v>
      </c>
      <c r="BA286" s="2" t="s">
        <v>93</v>
      </c>
      <c r="BB286" s="2" t="s">
        <v>195</v>
      </c>
      <c r="BC286" s="2" t="s">
        <v>86</v>
      </c>
      <c r="BD286" s="2" t="s">
        <v>86</v>
      </c>
      <c r="BE286" s="2" t="s">
        <v>86</v>
      </c>
      <c r="BF286" s="2" t="s">
        <v>86</v>
      </c>
      <c r="BG286" s="2" t="s">
        <v>95</v>
      </c>
      <c r="BH286" s="2" t="s">
        <v>5114</v>
      </c>
      <c r="BI286" s="2" t="str">
        <f>HYPERLINK("https%3A%2F%2Fwww.webofscience.com%2Fwos%2Fwoscc%2Ffull-record%2FWOS:000637180200007","View Full Record in Web of Science")</f>
        <v>View Full Record in Web of Science</v>
      </c>
    </row>
    <row r="287" spans="1:61" customFormat="1" ht="12.75" x14ac:dyDescent="0.2">
      <c r="A287" s="1">
        <v>284</v>
      </c>
      <c r="B287" s="1" t="s">
        <v>1068</v>
      </c>
      <c r="C287" s="1" t="s">
        <v>5115</v>
      </c>
      <c r="D287" s="2" t="s">
        <v>5116</v>
      </c>
      <c r="E287" s="2" t="s">
        <v>5117</v>
      </c>
      <c r="F287" s="3" t="str">
        <f>HYPERLINK("http://dx.doi.org/10.3390/s141019609","http://dx.doi.org/10.3390/s141019609")</f>
        <v>http://dx.doi.org/10.3390/s141019609</v>
      </c>
      <c r="G287" s="2" t="s">
        <v>200</v>
      </c>
      <c r="H287" s="2" t="s">
        <v>5118</v>
      </c>
      <c r="I287" s="2" t="s">
        <v>5119</v>
      </c>
      <c r="J287" s="2" t="s">
        <v>5120</v>
      </c>
      <c r="K287" s="2" t="s">
        <v>68</v>
      </c>
      <c r="L287" s="2" t="s">
        <v>5121</v>
      </c>
      <c r="M287" s="2" t="s">
        <v>5122</v>
      </c>
      <c r="N287" s="2" t="s">
        <v>5123</v>
      </c>
      <c r="O287" s="2" t="s">
        <v>5124</v>
      </c>
      <c r="P287" s="2" t="s">
        <v>5125</v>
      </c>
      <c r="Q287" s="2" t="s">
        <v>5126</v>
      </c>
      <c r="R287" s="2" t="s">
        <v>5127</v>
      </c>
      <c r="S287" s="2" t="s">
        <v>5128</v>
      </c>
      <c r="T287" s="2" t="s">
        <v>5129</v>
      </c>
      <c r="U287" s="2" t="s">
        <v>5130</v>
      </c>
      <c r="V287" s="2" t="s">
        <v>5131</v>
      </c>
      <c r="W287" s="2" t="s">
        <v>80</v>
      </c>
      <c r="X287" s="4">
        <v>26</v>
      </c>
      <c r="Y287" s="4">
        <v>20</v>
      </c>
      <c r="Z287" s="4">
        <v>20</v>
      </c>
      <c r="AA287" s="4">
        <v>2</v>
      </c>
      <c r="AB287" s="4">
        <v>43</v>
      </c>
      <c r="AC287" s="2" t="s">
        <v>211</v>
      </c>
      <c r="AD287" s="2" t="s">
        <v>212</v>
      </c>
      <c r="AE287" s="2" t="s">
        <v>213</v>
      </c>
      <c r="AF287" s="2" t="s">
        <v>86</v>
      </c>
      <c r="AG287" s="2" t="s">
        <v>5132</v>
      </c>
      <c r="AH287" s="2" t="s">
        <v>86</v>
      </c>
      <c r="AI287" s="2" t="s">
        <v>5133</v>
      </c>
      <c r="AJ287" s="2" t="s">
        <v>5134</v>
      </c>
      <c r="AK287" s="2" t="s">
        <v>873</v>
      </c>
      <c r="AL287" s="4">
        <v>2014</v>
      </c>
      <c r="AM287" s="4">
        <v>14</v>
      </c>
      <c r="AN287" s="4">
        <v>10</v>
      </c>
      <c r="AO287" s="2" t="s">
        <v>86</v>
      </c>
      <c r="AP287" s="2" t="s">
        <v>86</v>
      </c>
      <c r="AQ287" s="2" t="s">
        <v>86</v>
      </c>
      <c r="AR287" s="2" t="s">
        <v>86</v>
      </c>
      <c r="AS287" s="4">
        <v>19609</v>
      </c>
      <c r="AT287" s="4">
        <v>19621</v>
      </c>
      <c r="AU287" s="2" t="s">
        <v>86</v>
      </c>
      <c r="AV287" s="2" t="s">
        <v>86</v>
      </c>
      <c r="AW287" s="2" t="s">
        <v>86</v>
      </c>
      <c r="AX287" s="4">
        <v>13</v>
      </c>
      <c r="AY287" s="2" t="s">
        <v>5135</v>
      </c>
      <c r="AZ287" s="2" t="s">
        <v>92</v>
      </c>
      <c r="BA287" s="2" t="s">
        <v>5136</v>
      </c>
      <c r="BB287" s="2" t="s">
        <v>5137</v>
      </c>
      <c r="BC287" s="4">
        <v>25333292</v>
      </c>
      <c r="BD287" s="2" t="s">
        <v>723</v>
      </c>
      <c r="BE287" s="2" t="s">
        <v>86</v>
      </c>
      <c r="BF287" s="2" t="s">
        <v>86</v>
      </c>
      <c r="BG287" s="2" t="s">
        <v>95</v>
      </c>
      <c r="BH287" s="2" t="s">
        <v>5138</v>
      </c>
      <c r="BI287" s="2" t="str">
        <f>HYPERLINK("https%3A%2F%2Fwww.webofscience.com%2Fwos%2Fwoscc%2Ffull-record%2FWOS:000344455700090","View Full Record in Web of Science")</f>
        <v>View Full Record in Web of Science</v>
      </c>
    </row>
    <row r="288" spans="1:61" customFormat="1" ht="12.75" x14ac:dyDescent="0.2">
      <c r="A288" s="1">
        <v>285</v>
      </c>
      <c r="B288" s="1" t="s">
        <v>1068</v>
      </c>
      <c r="C288" s="1" t="s">
        <v>5139</v>
      </c>
      <c r="D288" s="2" t="s">
        <v>5140</v>
      </c>
      <c r="E288" s="2" t="s">
        <v>5141</v>
      </c>
      <c r="F288" s="3" t="str">
        <f>HYPERLINK("http://dx.doi.org/10.3390/su142416542","http://dx.doi.org/10.3390/su142416542")</f>
        <v>http://dx.doi.org/10.3390/su142416542</v>
      </c>
      <c r="G288" s="2" t="s">
        <v>200</v>
      </c>
      <c r="H288" s="2" t="s">
        <v>5142</v>
      </c>
      <c r="I288" s="2" t="s">
        <v>5143</v>
      </c>
      <c r="J288" s="2" t="s">
        <v>522</v>
      </c>
      <c r="K288" s="2" t="s">
        <v>68</v>
      </c>
      <c r="L288" s="2" t="s">
        <v>5144</v>
      </c>
      <c r="M288" s="2" t="s">
        <v>5145</v>
      </c>
      <c r="N288" s="2" t="s">
        <v>5146</v>
      </c>
      <c r="O288" s="2" t="s">
        <v>5147</v>
      </c>
      <c r="P288" s="2" t="s">
        <v>5148</v>
      </c>
      <c r="Q288" s="2" t="s">
        <v>5149</v>
      </c>
      <c r="R288" s="2" t="s">
        <v>5150</v>
      </c>
      <c r="S288" s="2" t="s">
        <v>5151</v>
      </c>
      <c r="T288" s="2" t="s">
        <v>5152</v>
      </c>
      <c r="U288" s="2" t="s">
        <v>5153</v>
      </c>
      <c r="V288" s="2" t="s">
        <v>5154</v>
      </c>
      <c r="W288" s="2" t="s">
        <v>80</v>
      </c>
      <c r="X288" s="4">
        <v>79</v>
      </c>
      <c r="Y288" s="4">
        <v>0</v>
      </c>
      <c r="Z288" s="4">
        <v>0</v>
      </c>
      <c r="AA288" s="4">
        <v>5</v>
      </c>
      <c r="AB288" s="4">
        <v>5</v>
      </c>
      <c r="AC288" s="2" t="s">
        <v>211</v>
      </c>
      <c r="AD288" s="2" t="s">
        <v>212</v>
      </c>
      <c r="AE288" s="2" t="s">
        <v>213</v>
      </c>
      <c r="AF288" s="2" t="s">
        <v>86</v>
      </c>
      <c r="AG288" s="2" t="s">
        <v>531</v>
      </c>
      <c r="AH288" s="2" t="s">
        <v>86</v>
      </c>
      <c r="AI288" s="2" t="s">
        <v>532</v>
      </c>
      <c r="AJ288" s="2" t="s">
        <v>533</v>
      </c>
      <c r="AK288" s="2" t="s">
        <v>217</v>
      </c>
      <c r="AL288" s="4">
        <v>2022</v>
      </c>
      <c r="AM288" s="4">
        <v>14</v>
      </c>
      <c r="AN288" s="4">
        <v>24</v>
      </c>
      <c r="AO288" s="2" t="s">
        <v>86</v>
      </c>
      <c r="AP288" s="2" t="s">
        <v>86</v>
      </c>
      <c r="AQ288" s="2" t="s">
        <v>86</v>
      </c>
      <c r="AR288" s="2" t="s">
        <v>86</v>
      </c>
      <c r="AS288" s="2" t="s">
        <v>86</v>
      </c>
      <c r="AT288" s="2" t="s">
        <v>86</v>
      </c>
      <c r="AU288" s="4">
        <v>16542</v>
      </c>
      <c r="AV288" s="2" t="s">
        <v>86</v>
      </c>
      <c r="AW288" s="2" t="s">
        <v>86</v>
      </c>
      <c r="AX288" s="4">
        <v>23</v>
      </c>
      <c r="AY288" s="2" t="s">
        <v>535</v>
      </c>
      <c r="AZ288" s="2" t="s">
        <v>536</v>
      </c>
      <c r="BA288" s="2" t="s">
        <v>537</v>
      </c>
      <c r="BB288" s="2" t="s">
        <v>5155</v>
      </c>
      <c r="BC288" s="2" t="s">
        <v>86</v>
      </c>
      <c r="BD288" s="2" t="s">
        <v>539</v>
      </c>
      <c r="BE288" s="2" t="s">
        <v>86</v>
      </c>
      <c r="BF288" s="2" t="s">
        <v>86</v>
      </c>
      <c r="BG288" s="2" t="s">
        <v>95</v>
      </c>
      <c r="BH288" s="2" t="s">
        <v>5156</v>
      </c>
      <c r="BI288" s="2" t="str">
        <f>HYPERLINK("https%3A%2F%2Fwww.webofscience.com%2Fwos%2Fwoscc%2Ffull-record%2FWOS:000904120600001","View Full Record in Web of Science")</f>
        <v>View Full Record in Web of Science</v>
      </c>
    </row>
    <row r="289" spans="1:61" customFormat="1" ht="12.75" x14ac:dyDescent="0.2">
      <c r="A289" s="1">
        <v>286</v>
      </c>
      <c r="B289" s="1" t="s">
        <v>1068</v>
      </c>
      <c r="C289" s="1" t="s">
        <v>5157</v>
      </c>
      <c r="D289" s="2" t="s">
        <v>5158</v>
      </c>
      <c r="E289" s="2" t="s">
        <v>5159</v>
      </c>
      <c r="F289" s="3" t="str">
        <f>HYPERLINK("http://dx.doi.org/10.1155/2014/646785","http://dx.doi.org/10.1155/2014/646785")</f>
        <v>http://dx.doi.org/10.1155/2014/646785</v>
      </c>
      <c r="G289" s="2" t="s">
        <v>200</v>
      </c>
      <c r="H289" s="2" t="s">
        <v>5160</v>
      </c>
      <c r="I289" s="2" t="s">
        <v>5161</v>
      </c>
      <c r="J289" s="2" t="s">
        <v>5162</v>
      </c>
      <c r="K289" s="2" t="s">
        <v>68</v>
      </c>
      <c r="L289" s="2" t="s">
        <v>86</v>
      </c>
      <c r="M289" s="2" t="s">
        <v>5163</v>
      </c>
      <c r="N289" s="2" t="s">
        <v>5164</v>
      </c>
      <c r="O289" s="2" t="s">
        <v>309</v>
      </c>
      <c r="P289" s="2" t="s">
        <v>5165</v>
      </c>
      <c r="Q289" s="2" t="s">
        <v>5166</v>
      </c>
      <c r="R289" s="2" t="s">
        <v>5167</v>
      </c>
      <c r="S289" s="2" t="s">
        <v>5168</v>
      </c>
      <c r="T289" s="2" t="s">
        <v>86</v>
      </c>
      <c r="U289" s="2" t="s">
        <v>86</v>
      </c>
      <c r="V289" s="2" t="s">
        <v>86</v>
      </c>
      <c r="W289" s="2" t="s">
        <v>80</v>
      </c>
      <c r="X289" s="4">
        <v>6</v>
      </c>
      <c r="Y289" s="4">
        <v>2</v>
      </c>
      <c r="Z289" s="4">
        <v>2</v>
      </c>
      <c r="AA289" s="4">
        <v>0</v>
      </c>
      <c r="AB289" s="4">
        <v>0</v>
      </c>
      <c r="AC289" s="2" t="s">
        <v>5169</v>
      </c>
      <c r="AD289" s="2" t="s">
        <v>605</v>
      </c>
      <c r="AE289" s="2" t="s">
        <v>5170</v>
      </c>
      <c r="AF289" s="2" t="s">
        <v>5171</v>
      </c>
      <c r="AG289" s="2" t="s">
        <v>5172</v>
      </c>
      <c r="AH289" s="2" t="s">
        <v>86</v>
      </c>
      <c r="AI289" s="2" t="s">
        <v>5173</v>
      </c>
      <c r="AJ289" s="2" t="s">
        <v>5174</v>
      </c>
      <c r="AK289" s="2" t="s">
        <v>86</v>
      </c>
      <c r="AL289" s="4">
        <v>2014</v>
      </c>
      <c r="AM289" s="4">
        <v>2014</v>
      </c>
      <c r="AN289" s="2" t="s">
        <v>86</v>
      </c>
      <c r="AO289" s="2" t="s">
        <v>86</v>
      </c>
      <c r="AP289" s="2" t="s">
        <v>86</v>
      </c>
      <c r="AQ289" s="2" t="s">
        <v>86</v>
      </c>
      <c r="AR289" s="2" t="s">
        <v>86</v>
      </c>
      <c r="AS289" s="2" t="s">
        <v>86</v>
      </c>
      <c r="AT289" s="2" t="s">
        <v>86</v>
      </c>
      <c r="AU289" s="4">
        <v>646785</v>
      </c>
      <c r="AV289" s="2" t="s">
        <v>86</v>
      </c>
      <c r="AW289" s="2" t="s">
        <v>86</v>
      </c>
      <c r="AX289" s="4">
        <v>2</v>
      </c>
      <c r="AY289" s="2" t="s">
        <v>5175</v>
      </c>
      <c r="AZ289" s="2" t="s">
        <v>171</v>
      </c>
      <c r="BA289" s="2" t="s">
        <v>5175</v>
      </c>
      <c r="BB289" s="2" t="s">
        <v>5176</v>
      </c>
      <c r="BC289" s="4">
        <v>24592347</v>
      </c>
      <c r="BD289" s="2" t="s">
        <v>5177</v>
      </c>
      <c r="BE289" s="2" t="s">
        <v>86</v>
      </c>
      <c r="BF289" s="2" t="s">
        <v>86</v>
      </c>
      <c r="BG289" s="2" t="s">
        <v>95</v>
      </c>
      <c r="BH289" s="2" t="s">
        <v>5178</v>
      </c>
      <c r="BI289" s="2" t="str">
        <f>HYPERLINK("https%3A%2F%2Fwww.webofscience.com%2Fwos%2Fwoscc%2Ffull-record%2FWOS:000215206500062","View Full Record in Web of Science")</f>
        <v>View Full Record in Web of Science</v>
      </c>
    </row>
    <row r="290" spans="1:61" customFormat="1" ht="12.75" x14ac:dyDescent="0.2">
      <c r="A290" s="1">
        <v>287</v>
      </c>
      <c r="B290" s="1" t="s">
        <v>1068</v>
      </c>
      <c r="C290" s="1" t="s">
        <v>5179</v>
      </c>
      <c r="D290" s="2" t="s">
        <v>5180</v>
      </c>
      <c r="E290" s="2" t="s">
        <v>5181</v>
      </c>
      <c r="F290" s="3" t="str">
        <f>HYPERLINK("http://dx.doi.org/10.1016/j.jallcom.2016.12.396","http://dx.doi.org/10.1016/j.jallcom.2016.12.396")</f>
        <v>http://dx.doi.org/10.1016/j.jallcom.2016.12.396</v>
      </c>
      <c r="G290" s="2" t="s">
        <v>200</v>
      </c>
      <c r="H290" s="2" t="s">
        <v>4642</v>
      </c>
      <c r="I290" s="2" t="s">
        <v>4643</v>
      </c>
      <c r="J290" s="2" t="s">
        <v>5182</v>
      </c>
      <c r="K290" s="2" t="s">
        <v>68</v>
      </c>
      <c r="L290" s="2" t="s">
        <v>5183</v>
      </c>
      <c r="M290" s="2" t="s">
        <v>5184</v>
      </c>
      <c r="N290" s="2" t="s">
        <v>5185</v>
      </c>
      <c r="O290" s="2" t="s">
        <v>5186</v>
      </c>
      <c r="P290" s="2" t="s">
        <v>5187</v>
      </c>
      <c r="Q290" s="2" t="s">
        <v>5188</v>
      </c>
      <c r="R290" s="2" t="s">
        <v>86</v>
      </c>
      <c r="S290" s="2" t="s">
        <v>86</v>
      </c>
      <c r="T290" s="2" t="s">
        <v>86</v>
      </c>
      <c r="U290" s="2" t="s">
        <v>86</v>
      </c>
      <c r="V290" s="2" t="s">
        <v>86</v>
      </c>
      <c r="W290" s="2" t="s">
        <v>80</v>
      </c>
      <c r="X290" s="4">
        <v>28</v>
      </c>
      <c r="Y290" s="4">
        <v>2</v>
      </c>
      <c r="Z290" s="4">
        <v>2</v>
      </c>
      <c r="AA290" s="4">
        <v>0</v>
      </c>
      <c r="AB290" s="4">
        <v>6</v>
      </c>
      <c r="AC290" s="2" t="s">
        <v>5189</v>
      </c>
      <c r="AD290" s="2" t="s">
        <v>783</v>
      </c>
      <c r="AE290" s="2" t="s">
        <v>5190</v>
      </c>
      <c r="AF290" s="2" t="s">
        <v>5191</v>
      </c>
      <c r="AG290" s="2" t="s">
        <v>5192</v>
      </c>
      <c r="AH290" s="2" t="s">
        <v>86</v>
      </c>
      <c r="AI290" s="2" t="s">
        <v>5193</v>
      </c>
      <c r="AJ290" s="2" t="s">
        <v>5194</v>
      </c>
      <c r="AK290" s="2" t="s">
        <v>5195</v>
      </c>
      <c r="AL290" s="4">
        <v>2017</v>
      </c>
      <c r="AM290" s="4">
        <v>699</v>
      </c>
      <c r="AN290" s="2" t="s">
        <v>86</v>
      </c>
      <c r="AO290" s="2" t="s">
        <v>86</v>
      </c>
      <c r="AP290" s="2" t="s">
        <v>86</v>
      </c>
      <c r="AQ290" s="2" t="s">
        <v>86</v>
      </c>
      <c r="AR290" s="2" t="s">
        <v>86</v>
      </c>
      <c r="AS290" s="4">
        <v>436</v>
      </c>
      <c r="AT290" s="4">
        <v>441</v>
      </c>
      <c r="AU290" s="2" t="s">
        <v>86</v>
      </c>
      <c r="AV290" s="2" t="s">
        <v>86</v>
      </c>
      <c r="AW290" s="2" t="s">
        <v>86</v>
      </c>
      <c r="AX290" s="4">
        <v>6</v>
      </c>
      <c r="AY290" s="2" t="s">
        <v>5196</v>
      </c>
      <c r="AZ290" s="2" t="s">
        <v>92</v>
      </c>
      <c r="BA290" s="2" t="s">
        <v>5197</v>
      </c>
      <c r="BB290" s="2" t="s">
        <v>5198</v>
      </c>
      <c r="BC290" s="2" t="s">
        <v>86</v>
      </c>
      <c r="BD290" s="2" t="s">
        <v>86</v>
      </c>
      <c r="BE290" s="2" t="s">
        <v>86</v>
      </c>
      <c r="BF290" s="2" t="s">
        <v>86</v>
      </c>
      <c r="BG290" s="2" t="s">
        <v>95</v>
      </c>
      <c r="BH290" s="2" t="s">
        <v>5199</v>
      </c>
      <c r="BI290" s="2" t="str">
        <f>HYPERLINK("https%3A%2F%2Fwww.webofscience.com%2Fwos%2Fwoscc%2Ffull-record%2FWOS:000393727500060","View Full Record in Web of Science")</f>
        <v>View Full Record in Web of Science</v>
      </c>
    </row>
    <row r="291" spans="1:61" customFormat="1" ht="12.75" x14ac:dyDescent="0.2">
      <c r="A291" s="1">
        <v>288</v>
      </c>
      <c r="B291" s="1" t="s">
        <v>1068</v>
      </c>
      <c r="C291" s="1" t="s">
        <v>5200</v>
      </c>
      <c r="D291" s="2" t="s">
        <v>86</v>
      </c>
      <c r="E291" s="2" t="s">
        <v>86</v>
      </c>
      <c r="F291" s="2" t="s">
        <v>86</v>
      </c>
      <c r="G291" s="2" t="s">
        <v>43</v>
      </c>
      <c r="H291" s="2" t="s">
        <v>5201</v>
      </c>
      <c r="I291" s="2" t="s">
        <v>5202</v>
      </c>
      <c r="J291" s="2" t="s">
        <v>5203</v>
      </c>
      <c r="K291" s="2" t="s">
        <v>68</v>
      </c>
      <c r="L291" s="2" t="s">
        <v>86</v>
      </c>
      <c r="M291" s="2" t="s">
        <v>86</v>
      </c>
      <c r="N291" s="2" t="s">
        <v>5204</v>
      </c>
      <c r="O291" s="2" t="s">
        <v>5205</v>
      </c>
      <c r="P291" s="2" t="s">
        <v>86</v>
      </c>
      <c r="Q291" s="2" t="s">
        <v>5206</v>
      </c>
      <c r="R291" s="2" t="s">
        <v>5207</v>
      </c>
      <c r="S291" s="2" t="s">
        <v>5208</v>
      </c>
      <c r="T291" s="2" t="s">
        <v>86</v>
      </c>
      <c r="U291" s="2" t="s">
        <v>86</v>
      </c>
      <c r="V291" s="2" t="s">
        <v>86</v>
      </c>
      <c r="W291" s="2" t="s">
        <v>80</v>
      </c>
      <c r="X291" s="4">
        <v>0</v>
      </c>
      <c r="Y291" s="4">
        <v>0</v>
      </c>
      <c r="Z291" s="4">
        <v>0</v>
      </c>
      <c r="AA291" s="4">
        <v>0</v>
      </c>
      <c r="AB291" s="4">
        <v>4</v>
      </c>
      <c r="AC291" s="2" t="s">
        <v>461</v>
      </c>
      <c r="AD291" s="2" t="s">
        <v>462</v>
      </c>
      <c r="AE291" s="2" t="s">
        <v>463</v>
      </c>
      <c r="AF291" s="2" t="s">
        <v>5209</v>
      </c>
      <c r="AG291" s="2" t="s">
        <v>86</v>
      </c>
      <c r="AH291" s="2" t="s">
        <v>86</v>
      </c>
      <c r="AI291" s="2" t="s">
        <v>5210</v>
      </c>
      <c r="AJ291" s="2" t="s">
        <v>5211</v>
      </c>
      <c r="AK291" s="2" t="s">
        <v>5212</v>
      </c>
      <c r="AL291" s="4">
        <v>2019</v>
      </c>
      <c r="AM291" s="4">
        <v>257</v>
      </c>
      <c r="AN291" s="2" t="s">
        <v>86</v>
      </c>
      <c r="AO291" s="2" t="s">
        <v>86</v>
      </c>
      <c r="AP291" s="2" t="s">
        <v>86</v>
      </c>
      <c r="AQ291" s="2" t="s">
        <v>86</v>
      </c>
      <c r="AR291" s="4">
        <v>148</v>
      </c>
      <c r="AS291" s="2" t="s">
        <v>86</v>
      </c>
      <c r="AT291" s="2" t="s">
        <v>86</v>
      </c>
      <c r="AU291" s="2" t="s">
        <v>86</v>
      </c>
      <c r="AV291" s="2" t="s">
        <v>86</v>
      </c>
      <c r="AW291" s="2" t="s">
        <v>86</v>
      </c>
      <c r="AX291" s="4">
        <v>1</v>
      </c>
      <c r="AY291" s="2" t="s">
        <v>4167</v>
      </c>
      <c r="AZ291" s="2" t="s">
        <v>5213</v>
      </c>
      <c r="BA291" s="2" t="s">
        <v>901</v>
      </c>
      <c r="BB291" s="2" t="s">
        <v>5214</v>
      </c>
      <c r="BC291" s="2" t="s">
        <v>86</v>
      </c>
      <c r="BD291" s="2" t="s">
        <v>86</v>
      </c>
      <c r="BE291" s="2" t="s">
        <v>86</v>
      </c>
      <c r="BF291" s="2" t="s">
        <v>86</v>
      </c>
      <c r="BG291" s="2" t="s">
        <v>95</v>
      </c>
      <c r="BH291" s="2" t="s">
        <v>5215</v>
      </c>
      <c r="BI291" s="2" t="str">
        <f>HYPERLINK("https%3A%2F%2Fwww.webofscience.com%2Fwos%2Fwoscc%2Ffull-record%2FWOS:000478861201040","View Full Record in Web of Science")</f>
        <v>View Full Record in Web of Science</v>
      </c>
    </row>
    <row r="292" spans="1:61" customFormat="1" ht="12.75" x14ac:dyDescent="0.2">
      <c r="A292" s="1">
        <v>289</v>
      </c>
      <c r="B292" s="1" t="s">
        <v>1068</v>
      </c>
      <c r="C292" s="1" t="s">
        <v>5216</v>
      </c>
      <c r="D292" s="2" t="s">
        <v>5217</v>
      </c>
      <c r="E292" s="2" t="s">
        <v>5218</v>
      </c>
      <c r="F292" s="3" t="str">
        <f>HYPERLINK("http://dx.doi.org/10.1080/19648189.2022.2108502","http://dx.doi.org/10.1080/19648189.2022.2108502")</f>
        <v>http://dx.doi.org/10.1080/19648189.2022.2108502</v>
      </c>
      <c r="G292" s="2" t="s">
        <v>200</v>
      </c>
      <c r="H292" s="2" t="s">
        <v>5219</v>
      </c>
      <c r="I292" s="2" t="s">
        <v>5220</v>
      </c>
      <c r="J292" s="2" t="s">
        <v>5221</v>
      </c>
      <c r="K292" s="2" t="s">
        <v>68</v>
      </c>
      <c r="L292" s="2" t="s">
        <v>5222</v>
      </c>
      <c r="M292" s="2" t="s">
        <v>5223</v>
      </c>
      <c r="N292" s="2" t="s">
        <v>5224</v>
      </c>
      <c r="O292" s="2" t="s">
        <v>5225</v>
      </c>
      <c r="P292" s="2" t="s">
        <v>5226</v>
      </c>
      <c r="Q292" s="2" t="s">
        <v>5227</v>
      </c>
      <c r="R292" s="2" t="s">
        <v>5228</v>
      </c>
      <c r="S292" s="2" t="s">
        <v>5229</v>
      </c>
      <c r="T292" s="2" t="s">
        <v>5230</v>
      </c>
      <c r="U292" s="2" t="s">
        <v>434</v>
      </c>
      <c r="V292" s="2" t="s">
        <v>5231</v>
      </c>
      <c r="W292" s="2" t="s">
        <v>80</v>
      </c>
      <c r="X292" s="4">
        <v>73</v>
      </c>
      <c r="Y292" s="4">
        <v>1</v>
      </c>
      <c r="Z292" s="4">
        <v>1</v>
      </c>
      <c r="AA292" s="4">
        <v>3</v>
      </c>
      <c r="AB292" s="4">
        <v>10</v>
      </c>
      <c r="AC292" s="2" t="s">
        <v>286</v>
      </c>
      <c r="AD292" s="2" t="s">
        <v>287</v>
      </c>
      <c r="AE292" s="2" t="s">
        <v>288</v>
      </c>
      <c r="AF292" s="2" t="s">
        <v>5232</v>
      </c>
      <c r="AG292" s="2" t="s">
        <v>5233</v>
      </c>
      <c r="AH292" s="2" t="s">
        <v>86</v>
      </c>
      <c r="AI292" s="2" t="s">
        <v>5234</v>
      </c>
      <c r="AJ292" s="2" t="s">
        <v>5235</v>
      </c>
      <c r="AK292" s="2" t="s">
        <v>5236</v>
      </c>
      <c r="AL292" s="4">
        <v>2023</v>
      </c>
      <c r="AM292" s="4">
        <v>27</v>
      </c>
      <c r="AN292" s="4">
        <v>5</v>
      </c>
      <c r="AO292" s="2" t="s">
        <v>86</v>
      </c>
      <c r="AP292" s="2" t="s">
        <v>86</v>
      </c>
      <c r="AQ292" s="2" t="s">
        <v>86</v>
      </c>
      <c r="AR292" s="2" t="s">
        <v>86</v>
      </c>
      <c r="AS292" s="4">
        <v>2015</v>
      </c>
      <c r="AT292" s="4">
        <v>2030</v>
      </c>
      <c r="AU292" s="2" t="s">
        <v>86</v>
      </c>
      <c r="AV292" s="2" t="s">
        <v>86</v>
      </c>
      <c r="AW292" s="2" t="s">
        <v>1982</v>
      </c>
      <c r="AX292" s="4">
        <v>16</v>
      </c>
      <c r="AY292" s="2" t="s">
        <v>5237</v>
      </c>
      <c r="AZ292" s="2" t="s">
        <v>92</v>
      </c>
      <c r="BA292" s="2" t="s">
        <v>345</v>
      </c>
      <c r="BB292" s="2" t="s">
        <v>5238</v>
      </c>
      <c r="BC292" s="2" t="s">
        <v>86</v>
      </c>
      <c r="BD292" s="2" t="s">
        <v>86</v>
      </c>
      <c r="BE292" s="2" t="s">
        <v>86</v>
      </c>
      <c r="BF292" s="2" t="s">
        <v>86</v>
      </c>
      <c r="BG292" s="2" t="s">
        <v>95</v>
      </c>
      <c r="BH292" s="2" t="s">
        <v>5239</v>
      </c>
      <c r="BI292" s="2" t="str">
        <f>HYPERLINK("https%3A%2F%2Fwww.webofscience.com%2Fwos%2Fwoscc%2Ffull-record%2FWOS:000837587900001","View Full Record in Web of Science")</f>
        <v>View Full Record in Web of Science</v>
      </c>
    </row>
    <row r="293" spans="1:61" customFormat="1" ht="12.75" x14ac:dyDescent="0.2">
      <c r="A293" s="1">
        <v>290</v>
      </c>
      <c r="B293" s="1" t="s">
        <v>1068</v>
      </c>
      <c r="C293" s="1" t="s">
        <v>5240</v>
      </c>
      <c r="D293" s="2" t="s">
        <v>5241</v>
      </c>
      <c r="E293" s="2" t="s">
        <v>5242</v>
      </c>
      <c r="F293" s="3" t="str">
        <f>HYPERLINK("http://dx.doi.org/10.1002/pen.23683","http://dx.doi.org/10.1002/pen.23683")</f>
        <v>http://dx.doi.org/10.1002/pen.23683</v>
      </c>
      <c r="G293" s="2" t="s">
        <v>200</v>
      </c>
      <c r="H293" s="2" t="s">
        <v>5243</v>
      </c>
      <c r="I293" s="2" t="s">
        <v>5244</v>
      </c>
      <c r="J293" s="2" t="s">
        <v>5054</v>
      </c>
      <c r="K293" s="2" t="s">
        <v>68</v>
      </c>
      <c r="L293" s="2" t="s">
        <v>86</v>
      </c>
      <c r="M293" s="2" t="s">
        <v>5245</v>
      </c>
      <c r="N293" s="2" t="s">
        <v>5246</v>
      </c>
      <c r="O293" s="2" t="s">
        <v>5247</v>
      </c>
      <c r="P293" s="2" t="s">
        <v>5248</v>
      </c>
      <c r="Q293" s="2" t="s">
        <v>5249</v>
      </c>
      <c r="R293" s="2" t="s">
        <v>86</v>
      </c>
      <c r="S293" s="2" t="s">
        <v>86</v>
      </c>
      <c r="T293" s="2" t="s">
        <v>86</v>
      </c>
      <c r="U293" s="2" t="s">
        <v>86</v>
      </c>
      <c r="V293" s="2" t="s">
        <v>86</v>
      </c>
      <c r="W293" s="2" t="s">
        <v>80</v>
      </c>
      <c r="X293" s="4">
        <v>28</v>
      </c>
      <c r="Y293" s="4">
        <v>1</v>
      </c>
      <c r="Z293" s="4">
        <v>1</v>
      </c>
      <c r="AA293" s="4">
        <v>0</v>
      </c>
      <c r="AB293" s="4">
        <v>8</v>
      </c>
      <c r="AC293" s="2" t="s">
        <v>956</v>
      </c>
      <c r="AD293" s="2" t="s">
        <v>957</v>
      </c>
      <c r="AE293" s="2" t="s">
        <v>958</v>
      </c>
      <c r="AF293" s="2" t="s">
        <v>5061</v>
      </c>
      <c r="AG293" s="2" t="s">
        <v>5062</v>
      </c>
      <c r="AH293" s="2" t="s">
        <v>86</v>
      </c>
      <c r="AI293" s="2" t="s">
        <v>5063</v>
      </c>
      <c r="AJ293" s="2" t="s">
        <v>5064</v>
      </c>
      <c r="AK293" s="2" t="s">
        <v>1220</v>
      </c>
      <c r="AL293" s="4">
        <v>2014</v>
      </c>
      <c r="AM293" s="4">
        <v>54</v>
      </c>
      <c r="AN293" s="4">
        <v>6</v>
      </c>
      <c r="AO293" s="2" t="s">
        <v>86</v>
      </c>
      <c r="AP293" s="2" t="s">
        <v>86</v>
      </c>
      <c r="AQ293" s="2" t="s">
        <v>86</v>
      </c>
      <c r="AR293" s="2" t="s">
        <v>86</v>
      </c>
      <c r="AS293" s="4">
        <v>1350</v>
      </c>
      <c r="AT293" s="4">
        <v>1356</v>
      </c>
      <c r="AU293" s="2" t="s">
        <v>86</v>
      </c>
      <c r="AV293" s="2" t="s">
        <v>86</v>
      </c>
      <c r="AW293" s="2" t="s">
        <v>86</v>
      </c>
      <c r="AX293" s="4">
        <v>7</v>
      </c>
      <c r="AY293" s="2" t="s">
        <v>5065</v>
      </c>
      <c r="AZ293" s="2" t="s">
        <v>92</v>
      </c>
      <c r="BA293" s="2" t="s">
        <v>5066</v>
      </c>
      <c r="BB293" s="2" t="s">
        <v>5250</v>
      </c>
      <c r="BC293" s="2" t="s">
        <v>86</v>
      </c>
      <c r="BD293" s="2" t="s">
        <v>86</v>
      </c>
      <c r="BE293" s="2" t="s">
        <v>86</v>
      </c>
      <c r="BF293" s="2" t="s">
        <v>86</v>
      </c>
      <c r="BG293" s="2" t="s">
        <v>95</v>
      </c>
      <c r="BH293" s="2" t="s">
        <v>5251</v>
      </c>
      <c r="BI293" s="2" t="str">
        <f>HYPERLINK("https%3A%2F%2Fwww.webofscience.com%2Fwos%2Fwoscc%2Ffull-record%2FWOS:000335809000012","View Full Record in Web of Science")</f>
        <v>View Full Record in Web of Science</v>
      </c>
    </row>
    <row r="294" spans="1:61" customFormat="1" ht="12.75" x14ac:dyDescent="0.2">
      <c r="A294" s="1">
        <v>291</v>
      </c>
      <c r="B294" s="1" t="s">
        <v>1068</v>
      </c>
      <c r="C294" s="1" t="s">
        <v>5252</v>
      </c>
      <c r="D294" s="2" t="s">
        <v>5253</v>
      </c>
      <c r="E294" s="2" t="s">
        <v>86</v>
      </c>
      <c r="F294" s="2" t="s">
        <v>86</v>
      </c>
      <c r="G294" s="2" t="s">
        <v>176</v>
      </c>
      <c r="H294" s="2" t="s">
        <v>5254</v>
      </c>
      <c r="I294" s="2" t="s">
        <v>5255</v>
      </c>
      <c r="J294" s="2" t="s">
        <v>5256</v>
      </c>
      <c r="K294" s="2" t="s">
        <v>68</v>
      </c>
      <c r="L294" s="2" t="s">
        <v>86</v>
      </c>
      <c r="M294" s="2" t="s">
        <v>5257</v>
      </c>
      <c r="N294" s="2" t="s">
        <v>5258</v>
      </c>
      <c r="O294" s="2" t="s">
        <v>5259</v>
      </c>
      <c r="P294" s="2" t="s">
        <v>5260</v>
      </c>
      <c r="Q294" s="2" t="s">
        <v>5261</v>
      </c>
      <c r="R294" s="2" t="s">
        <v>86</v>
      </c>
      <c r="S294" s="2" t="s">
        <v>86</v>
      </c>
      <c r="T294" s="2" t="s">
        <v>86</v>
      </c>
      <c r="U294" s="2" t="s">
        <v>86</v>
      </c>
      <c r="V294" s="2" t="s">
        <v>86</v>
      </c>
      <c r="W294" s="2" t="s">
        <v>188</v>
      </c>
      <c r="X294" s="4">
        <v>91</v>
      </c>
      <c r="Y294" s="4">
        <v>0</v>
      </c>
      <c r="Z294" s="4">
        <v>0</v>
      </c>
      <c r="AA294" s="4">
        <v>0</v>
      </c>
      <c r="AB294" s="4">
        <v>2</v>
      </c>
      <c r="AC294" s="2" t="s">
        <v>5262</v>
      </c>
      <c r="AD294" s="2" t="s">
        <v>5263</v>
      </c>
      <c r="AE294" s="2" t="s">
        <v>5264</v>
      </c>
      <c r="AF294" s="2" t="s">
        <v>86</v>
      </c>
      <c r="AG294" s="2" t="s">
        <v>86</v>
      </c>
      <c r="AH294" s="2" t="s">
        <v>5265</v>
      </c>
      <c r="AI294" s="2" t="s">
        <v>5266</v>
      </c>
      <c r="AJ294" s="2" t="s">
        <v>86</v>
      </c>
      <c r="AK294" s="2" t="s">
        <v>86</v>
      </c>
      <c r="AL294" s="4">
        <v>2010</v>
      </c>
      <c r="AM294" s="2" t="s">
        <v>86</v>
      </c>
      <c r="AN294" s="2" t="s">
        <v>86</v>
      </c>
      <c r="AO294" s="2" t="s">
        <v>86</v>
      </c>
      <c r="AP294" s="2" t="s">
        <v>86</v>
      </c>
      <c r="AQ294" s="2" t="s">
        <v>86</v>
      </c>
      <c r="AR294" s="2" t="s">
        <v>86</v>
      </c>
      <c r="AS294" s="4">
        <v>293</v>
      </c>
      <c r="AT294" s="4">
        <v>313</v>
      </c>
      <c r="AU294" s="2" t="s">
        <v>86</v>
      </c>
      <c r="AV294" s="2" t="s">
        <v>86</v>
      </c>
      <c r="AW294" s="2" t="s">
        <v>86</v>
      </c>
      <c r="AX294" s="4">
        <v>21</v>
      </c>
      <c r="AY294" s="2" t="s">
        <v>91</v>
      </c>
      <c r="AZ294" s="2" t="s">
        <v>194</v>
      </c>
      <c r="BA294" s="2" t="s">
        <v>93</v>
      </c>
      <c r="BB294" s="2" t="s">
        <v>5267</v>
      </c>
      <c r="BC294" s="2" t="s">
        <v>86</v>
      </c>
      <c r="BD294" s="2" t="s">
        <v>86</v>
      </c>
      <c r="BE294" s="2" t="s">
        <v>86</v>
      </c>
      <c r="BF294" s="2" t="s">
        <v>86</v>
      </c>
      <c r="BG294" s="2" t="s">
        <v>95</v>
      </c>
      <c r="BH294" s="2" t="s">
        <v>5268</v>
      </c>
      <c r="BI294" s="2" t="str">
        <f>HYPERLINK("https%3A%2F%2Fwww.webofscience.com%2Fwos%2Fwoscc%2Ffull-record%2FWOS:000286537000013","View Full Record in Web of Science")</f>
        <v>View Full Record in Web of Science</v>
      </c>
    </row>
    <row r="295" spans="1:61" customFormat="1" ht="12.75" x14ac:dyDescent="0.2">
      <c r="A295" s="1">
        <v>292</v>
      </c>
      <c r="B295" s="1" t="s">
        <v>1068</v>
      </c>
      <c r="C295" s="1" t="s">
        <v>5269</v>
      </c>
      <c r="D295" s="2" t="s">
        <v>5270</v>
      </c>
      <c r="E295" s="2" t="s">
        <v>5271</v>
      </c>
      <c r="F295" s="3" t="str">
        <f>HYPERLINK("http://dx.doi.org/10.4174/astr.2022.103.5.253","http://dx.doi.org/10.4174/astr.2022.103.5.253")</f>
        <v>http://dx.doi.org/10.4174/astr.2022.103.5.253</v>
      </c>
      <c r="G295" s="2" t="s">
        <v>200</v>
      </c>
      <c r="H295" s="2" t="s">
        <v>5272</v>
      </c>
      <c r="I295" s="2" t="s">
        <v>5273</v>
      </c>
      <c r="J295" s="2" t="s">
        <v>5274</v>
      </c>
      <c r="K295" s="2" t="s">
        <v>68</v>
      </c>
      <c r="L295" s="2" t="s">
        <v>5275</v>
      </c>
      <c r="M295" s="2" t="s">
        <v>5276</v>
      </c>
      <c r="N295" s="2" t="s">
        <v>5277</v>
      </c>
      <c r="O295" s="2" t="s">
        <v>5278</v>
      </c>
      <c r="P295" s="2" t="s">
        <v>5279</v>
      </c>
      <c r="Q295" s="2" t="s">
        <v>5280</v>
      </c>
      <c r="R295" s="2" t="s">
        <v>5281</v>
      </c>
      <c r="S295" s="2" t="s">
        <v>5282</v>
      </c>
      <c r="T295" s="2" t="s">
        <v>86</v>
      </c>
      <c r="U295" s="2" t="s">
        <v>86</v>
      </c>
      <c r="V295" s="2" t="s">
        <v>86</v>
      </c>
      <c r="W295" s="2" t="s">
        <v>80</v>
      </c>
      <c r="X295" s="4">
        <v>30</v>
      </c>
      <c r="Y295" s="4">
        <v>0</v>
      </c>
      <c r="Z295" s="4">
        <v>0</v>
      </c>
      <c r="AA295" s="4">
        <v>0</v>
      </c>
      <c r="AB295" s="4">
        <v>0</v>
      </c>
      <c r="AC295" s="2" t="s">
        <v>5283</v>
      </c>
      <c r="AD295" s="2" t="s">
        <v>4297</v>
      </c>
      <c r="AE295" s="2" t="s">
        <v>5284</v>
      </c>
      <c r="AF295" s="2" t="s">
        <v>5285</v>
      </c>
      <c r="AG295" s="2" t="s">
        <v>5286</v>
      </c>
      <c r="AH295" s="2" t="s">
        <v>86</v>
      </c>
      <c r="AI295" s="2" t="s">
        <v>5287</v>
      </c>
      <c r="AJ295" s="2" t="s">
        <v>5288</v>
      </c>
      <c r="AK295" s="2" t="s">
        <v>121</v>
      </c>
      <c r="AL295" s="4">
        <v>2022</v>
      </c>
      <c r="AM295" s="4">
        <v>103</v>
      </c>
      <c r="AN295" s="4">
        <v>5</v>
      </c>
      <c r="AO295" s="2" t="s">
        <v>86</v>
      </c>
      <c r="AP295" s="2" t="s">
        <v>86</v>
      </c>
      <c r="AQ295" s="2" t="s">
        <v>86</v>
      </c>
      <c r="AR295" s="2" t="s">
        <v>86</v>
      </c>
      <c r="AS295" s="4">
        <v>253</v>
      </c>
      <c r="AT295" s="4">
        <v>263</v>
      </c>
      <c r="AU295" s="2" t="s">
        <v>86</v>
      </c>
      <c r="AV295" s="2" t="s">
        <v>86</v>
      </c>
      <c r="AW295" s="2" t="s">
        <v>86</v>
      </c>
      <c r="AX295" s="4">
        <v>11</v>
      </c>
      <c r="AY295" s="2" t="s">
        <v>5289</v>
      </c>
      <c r="AZ295" s="2" t="s">
        <v>92</v>
      </c>
      <c r="BA295" s="2" t="s">
        <v>5289</v>
      </c>
      <c r="BB295" s="2" t="s">
        <v>5290</v>
      </c>
      <c r="BC295" s="4">
        <v>36452312</v>
      </c>
      <c r="BD295" s="2" t="s">
        <v>723</v>
      </c>
      <c r="BE295" s="2" t="s">
        <v>86</v>
      </c>
      <c r="BF295" s="2" t="s">
        <v>86</v>
      </c>
      <c r="BG295" s="2" t="s">
        <v>95</v>
      </c>
      <c r="BH295" s="2" t="s">
        <v>5291</v>
      </c>
      <c r="BI295" s="2" t="str">
        <f>HYPERLINK("https%3A%2F%2Fwww.webofscience.com%2Fwos%2Fwoscc%2Ffull-record%2FWOS:000969175500001","View Full Record in Web of Science")</f>
        <v>View Full Record in Web of Science</v>
      </c>
    </row>
    <row r="296" spans="1:61" customFormat="1" ht="12.75" x14ac:dyDescent="0.2">
      <c r="A296" s="1">
        <v>293</v>
      </c>
      <c r="B296" s="1" t="s">
        <v>1068</v>
      </c>
      <c r="C296" s="1" t="s">
        <v>5292</v>
      </c>
      <c r="D296" s="2" t="s">
        <v>5293</v>
      </c>
      <c r="E296" s="2" t="s">
        <v>5294</v>
      </c>
      <c r="F296" s="3" t="str">
        <f>HYPERLINK("http://dx.doi.org/10.1016/j.conbuildmat.2017.02.139","http://dx.doi.org/10.1016/j.conbuildmat.2017.02.139")</f>
        <v>http://dx.doi.org/10.1016/j.conbuildmat.2017.02.139</v>
      </c>
      <c r="G296" s="2" t="s">
        <v>200</v>
      </c>
      <c r="H296" s="2" t="s">
        <v>5295</v>
      </c>
      <c r="I296" s="2" t="s">
        <v>5296</v>
      </c>
      <c r="J296" s="2" t="s">
        <v>4425</v>
      </c>
      <c r="K296" s="2" t="s">
        <v>68</v>
      </c>
      <c r="L296" s="2" t="s">
        <v>5297</v>
      </c>
      <c r="M296" s="2" t="s">
        <v>5298</v>
      </c>
      <c r="N296" s="2" t="s">
        <v>5299</v>
      </c>
      <c r="O296" s="2" t="s">
        <v>5300</v>
      </c>
      <c r="P296" s="2" t="s">
        <v>5301</v>
      </c>
      <c r="Q296" s="2" t="s">
        <v>5302</v>
      </c>
      <c r="R296" s="2" t="s">
        <v>5303</v>
      </c>
      <c r="S296" s="2" t="s">
        <v>5304</v>
      </c>
      <c r="T296" s="2" t="s">
        <v>86</v>
      </c>
      <c r="U296" s="2" t="s">
        <v>86</v>
      </c>
      <c r="V296" s="2" t="s">
        <v>86</v>
      </c>
      <c r="W296" s="2" t="s">
        <v>80</v>
      </c>
      <c r="X296" s="4">
        <v>56</v>
      </c>
      <c r="Y296" s="4">
        <v>55</v>
      </c>
      <c r="Z296" s="4">
        <v>55</v>
      </c>
      <c r="AA296" s="4">
        <v>3</v>
      </c>
      <c r="AB296" s="4">
        <v>41</v>
      </c>
      <c r="AC296" s="2" t="s">
        <v>114</v>
      </c>
      <c r="AD296" s="2" t="s">
        <v>115</v>
      </c>
      <c r="AE296" s="2" t="s">
        <v>116</v>
      </c>
      <c r="AF296" s="2" t="s">
        <v>4436</v>
      </c>
      <c r="AG296" s="2" t="s">
        <v>4437</v>
      </c>
      <c r="AH296" s="2" t="s">
        <v>86</v>
      </c>
      <c r="AI296" s="2" t="s">
        <v>4438</v>
      </c>
      <c r="AJ296" s="2" t="s">
        <v>4439</v>
      </c>
      <c r="AK296" s="2" t="s">
        <v>1306</v>
      </c>
      <c r="AL296" s="4">
        <v>2017</v>
      </c>
      <c r="AM296" s="4">
        <v>140</v>
      </c>
      <c r="AN296" s="2" t="s">
        <v>86</v>
      </c>
      <c r="AO296" s="2" t="s">
        <v>86</v>
      </c>
      <c r="AP296" s="2" t="s">
        <v>86</v>
      </c>
      <c r="AQ296" s="2" t="s">
        <v>86</v>
      </c>
      <c r="AR296" s="2" t="s">
        <v>86</v>
      </c>
      <c r="AS296" s="4">
        <v>562</v>
      </c>
      <c r="AT296" s="4">
        <v>569</v>
      </c>
      <c r="AU296" s="2" t="s">
        <v>86</v>
      </c>
      <c r="AV296" s="2" t="s">
        <v>86</v>
      </c>
      <c r="AW296" s="2" t="s">
        <v>86</v>
      </c>
      <c r="AX296" s="4">
        <v>8</v>
      </c>
      <c r="AY296" s="2" t="s">
        <v>4441</v>
      </c>
      <c r="AZ296" s="2" t="s">
        <v>92</v>
      </c>
      <c r="BA296" s="2" t="s">
        <v>4442</v>
      </c>
      <c r="BB296" s="2" t="s">
        <v>5305</v>
      </c>
      <c r="BC296" s="2" t="s">
        <v>86</v>
      </c>
      <c r="BD296" s="2" t="s">
        <v>86</v>
      </c>
      <c r="BE296" s="2" t="s">
        <v>86</v>
      </c>
      <c r="BF296" s="2" t="s">
        <v>86</v>
      </c>
      <c r="BG296" s="2" t="s">
        <v>95</v>
      </c>
      <c r="BH296" s="2" t="s">
        <v>5306</v>
      </c>
      <c r="BI296" s="2" t="str">
        <f>HYPERLINK("https%3A%2F%2Fwww.webofscience.com%2Fwos%2Fwoscc%2Ffull-record%2FWOS:000398752200057","View Full Record in Web of Science")</f>
        <v>View Full Record in Web of Science</v>
      </c>
    </row>
    <row r="297" spans="1:61" customFormat="1" ht="12.75" x14ac:dyDescent="0.2">
      <c r="A297" s="1">
        <v>294</v>
      </c>
      <c r="B297" s="1" t="s">
        <v>1068</v>
      </c>
      <c r="C297" s="1" t="s">
        <v>5307</v>
      </c>
      <c r="D297" s="2" t="s">
        <v>5308</v>
      </c>
      <c r="E297" s="2" t="s">
        <v>5309</v>
      </c>
      <c r="F297" s="3" t="str">
        <f>HYPERLINK("http://dx.doi.org/10.1007/s00266-002-2045-3","http://dx.doi.org/10.1007/s00266-002-2045-3")</f>
        <v>http://dx.doi.org/10.1007/s00266-002-2045-3</v>
      </c>
      <c r="G297" s="2" t="s">
        <v>200</v>
      </c>
      <c r="H297" s="2" t="s">
        <v>5310</v>
      </c>
      <c r="I297" s="2" t="s">
        <v>5310</v>
      </c>
      <c r="J297" s="2" t="s">
        <v>5311</v>
      </c>
      <c r="K297" s="2" t="s">
        <v>68</v>
      </c>
      <c r="L297" s="2" t="s">
        <v>5312</v>
      </c>
      <c r="M297" s="2" t="s">
        <v>5313</v>
      </c>
      <c r="N297" s="2" t="s">
        <v>86</v>
      </c>
      <c r="O297" s="2" t="s">
        <v>86</v>
      </c>
      <c r="P297" s="2" t="s">
        <v>5314</v>
      </c>
      <c r="Q297" s="2" t="s">
        <v>86</v>
      </c>
      <c r="R297" s="2" t="s">
        <v>86</v>
      </c>
      <c r="S297" s="2" t="s">
        <v>86</v>
      </c>
      <c r="T297" s="2" t="s">
        <v>86</v>
      </c>
      <c r="U297" s="2" t="s">
        <v>86</v>
      </c>
      <c r="V297" s="2" t="s">
        <v>86</v>
      </c>
      <c r="W297" s="2" t="s">
        <v>80</v>
      </c>
      <c r="X297" s="4">
        <v>28</v>
      </c>
      <c r="Y297" s="4">
        <v>29</v>
      </c>
      <c r="Z297" s="4">
        <v>29</v>
      </c>
      <c r="AA297" s="4">
        <v>0</v>
      </c>
      <c r="AB297" s="4">
        <v>2</v>
      </c>
      <c r="AC297" s="2" t="s">
        <v>5315</v>
      </c>
      <c r="AD297" s="2" t="s">
        <v>1355</v>
      </c>
      <c r="AE297" s="2" t="s">
        <v>5316</v>
      </c>
      <c r="AF297" s="2" t="s">
        <v>5317</v>
      </c>
      <c r="AG297" s="2" t="s">
        <v>86</v>
      </c>
      <c r="AH297" s="2" t="s">
        <v>86</v>
      </c>
      <c r="AI297" s="2" t="s">
        <v>5318</v>
      </c>
      <c r="AJ297" s="2" t="s">
        <v>5319</v>
      </c>
      <c r="AK297" s="2" t="s">
        <v>5320</v>
      </c>
      <c r="AL297" s="4">
        <v>2002</v>
      </c>
      <c r="AM297" s="4">
        <v>26</v>
      </c>
      <c r="AN297" s="4">
        <v>6</v>
      </c>
      <c r="AO297" s="2" t="s">
        <v>86</v>
      </c>
      <c r="AP297" s="2" t="s">
        <v>86</v>
      </c>
      <c r="AQ297" s="2" t="s">
        <v>86</v>
      </c>
      <c r="AR297" s="2" t="s">
        <v>86</v>
      </c>
      <c r="AS297" s="4">
        <v>477</v>
      </c>
      <c r="AT297" s="4">
        <v>482</v>
      </c>
      <c r="AU297" s="2" t="s">
        <v>86</v>
      </c>
      <c r="AV297" s="2" t="s">
        <v>86</v>
      </c>
      <c r="AW297" s="2" t="s">
        <v>86</v>
      </c>
      <c r="AX297" s="4">
        <v>6</v>
      </c>
      <c r="AY297" s="2" t="s">
        <v>5289</v>
      </c>
      <c r="AZ297" s="2" t="s">
        <v>92</v>
      </c>
      <c r="BA297" s="2" t="s">
        <v>5289</v>
      </c>
      <c r="BB297" s="2" t="s">
        <v>5321</v>
      </c>
      <c r="BC297" s="4">
        <v>12621573</v>
      </c>
      <c r="BD297" s="2" t="s">
        <v>86</v>
      </c>
      <c r="BE297" s="2" t="s">
        <v>86</v>
      </c>
      <c r="BF297" s="2" t="s">
        <v>86</v>
      </c>
      <c r="BG297" s="2" t="s">
        <v>95</v>
      </c>
      <c r="BH297" s="2" t="s">
        <v>5322</v>
      </c>
      <c r="BI297" s="2" t="str">
        <f>HYPERLINK("https%3A%2F%2Fwww.webofscience.com%2Fwos%2Fwoscc%2Ffull-record%2FWOS:000181079800015","View Full Record in Web of Science")</f>
        <v>View Full Record in Web of Science</v>
      </c>
    </row>
    <row r="298" spans="1:61" customFormat="1" ht="12.75" x14ac:dyDescent="0.2">
      <c r="A298" s="1">
        <v>295</v>
      </c>
      <c r="B298" s="1" t="s">
        <v>1068</v>
      </c>
      <c r="C298" s="1" t="s">
        <v>5323</v>
      </c>
      <c r="D298" s="2" t="s">
        <v>5324</v>
      </c>
      <c r="E298" s="2" t="s">
        <v>5325</v>
      </c>
      <c r="F298" s="3" t="str">
        <f>HYPERLINK("http://dx.doi.org/10.1016/j.ijplas.2019.02.008","http://dx.doi.org/10.1016/j.ijplas.2019.02.008")</f>
        <v>http://dx.doi.org/10.1016/j.ijplas.2019.02.008</v>
      </c>
      <c r="G298" s="2" t="s">
        <v>200</v>
      </c>
      <c r="H298" s="2" t="s">
        <v>5326</v>
      </c>
      <c r="I298" s="2" t="s">
        <v>5327</v>
      </c>
      <c r="J298" s="2" t="s">
        <v>5328</v>
      </c>
      <c r="K298" s="2" t="s">
        <v>68</v>
      </c>
      <c r="L298" s="2" t="s">
        <v>5329</v>
      </c>
      <c r="M298" s="2" t="s">
        <v>5330</v>
      </c>
      <c r="N298" s="2" t="s">
        <v>5331</v>
      </c>
      <c r="O298" s="2" t="s">
        <v>106</v>
      </c>
      <c r="P298" s="2" t="s">
        <v>5332</v>
      </c>
      <c r="Q298" s="2" t="s">
        <v>5333</v>
      </c>
      <c r="R298" s="2" t="s">
        <v>5334</v>
      </c>
      <c r="S298" s="2" t="s">
        <v>5335</v>
      </c>
      <c r="T298" s="2" t="s">
        <v>5336</v>
      </c>
      <c r="U298" s="2" t="s">
        <v>434</v>
      </c>
      <c r="V298" s="2" t="s">
        <v>5337</v>
      </c>
      <c r="W298" s="2" t="s">
        <v>80</v>
      </c>
      <c r="X298" s="4">
        <v>59</v>
      </c>
      <c r="Y298" s="4">
        <v>16</v>
      </c>
      <c r="Z298" s="4">
        <v>16</v>
      </c>
      <c r="AA298" s="4">
        <v>1</v>
      </c>
      <c r="AB298" s="4">
        <v>27</v>
      </c>
      <c r="AC298" s="2" t="s">
        <v>237</v>
      </c>
      <c r="AD298" s="2" t="s">
        <v>115</v>
      </c>
      <c r="AE298" s="2" t="s">
        <v>238</v>
      </c>
      <c r="AF298" s="2" t="s">
        <v>5338</v>
      </c>
      <c r="AG298" s="2" t="s">
        <v>5339</v>
      </c>
      <c r="AH298" s="2" t="s">
        <v>86</v>
      </c>
      <c r="AI298" s="2" t="s">
        <v>5340</v>
      </c>
      <c r="AJ298" s="2" t="s">
        <v>5341</v>
      </c>
      <c r="AK298" s="2" t="s">
        <v>1458</v>
      </c>
      <c r="AL298" s="4">
        <v>2019</v>
      </c>
      <c r="AM298" s="4">
        <v>118</v>
      </c>
      <c r="AN298" s="2" t="s">
        <v>86</v>
      </c>
      <c r="AO298" s="2" t="s">
        <v>86</v>
      </c>
      <c r="AP298" s="2" t="s">
        <v>86</v>
      </c>
      <c r="AQ298" s="2" t="s">
        <v>86</v>
      </c>
      <c r="AR298" s="2" t="s">
        <v>86</v>
      </c>
      <c r="AS298" s="4">
        <v>233</v>
      </c>
      <c r="AT298" s="4">
        <v>251</v>
      </c>
      <c r="AU298" s="2" t="s">
        <v>86</v>
      </c>
      <c r="AV298" s="2" t="s">
        <v>86</v>
      </c>
      <c r="AW298" s="2" t="s">
        <v>86</v>
      </c>
      <c r="AX298" s="4">
        <v>19</v>
      </c>
      <c r="AY298" s="2" t="s">
        <v>5342</v>
      </c>
      <c r="AZ298" s="2" t="s">
        <v>92</v>
      </c>
      <c r="BA298" s="2" t="s">
        <v>5343</v>
      </c>
      <c r="BB298" s="2" t="s">
        <v>5344</v>
      </c>
      <c r="BC298" s="2" t="s">
        <v>86</v>
      </c>
      <c r="BD298" s="2" t="s">
        <v>86</v>
      </c>
      <c r="BE298" s="2" t="s">
        <v>86</v>
      </c>
      <c r="BF298" s="2" t="s">
        <v>86</v>
      </c>
      <c r="BG298" s="2" t="s">
        <v>95</v>
      </c>
      <c r="BH298" s="2" t="s">
        <v>5345</v>
      </c>
      <c r="BI298" s="2" t="str">
        <f>HYPERLINK("https%3A%2F%2Fwww.webofscience.com%2Fwos%2Fwoscc%2Ffull-record%2FWOS:000469156900012","View Full Record in Web of Science")</f>
        <v>View Full Record in Web of Science</v>
      </c>
    </row>
    <row r="299" spans="1:61" customFormat="1" ht="12.75" x14ac:dyDescent="0.2">
      <c r="A299" s="1">
        <v>296</v>
      </c>
      <c r="B299" s="1" t="s">
        <v>1068</v>
      </c>
      <c r="C299" s="1" t="s">
        <v>5346</v>
      </c>
      <c r="D299" s="2" t="s">
        <v>5347</v>
      </c>
      <c r="E299" s="2" t="s">
        <v>5348</v>
      </c>
      <c r="F299" s="3" t="str">
        <f>HYPERLINK("http://dx.doi.org/10.1111/jac.12070","http://dx.doi.org/10.1111/jac.12070")</f>
        <v>http://dx.doi.org/10.1111/jac.12070</v>
      </c>
      <c r="G299" s="2" t="s">
        <v>200</v>
      </c>
      <c r="H299" s="2" t="s">
        <v>5349</v>
      </c>
      <c r="I299" s="2" t="s">
        <v>5350</v>
      </c>
      <c r="J299" s="2" t="s">
        <v>5351</v>
      </c>
      <c r="K299" s="2" t="s">
        <v>68</v>
      </c>
      <c r="L299" s="2" t="s">
        <v>5352</v>
      </c>
      <c r="M299" s="2" t="s">
        <v>5353</v>
      </c>
      <c r="N299" s="2" t="s">
        <v>5354</v>
      </c>
      <c r="O299" s="2" t="s">
        <v>5355</v>
      </c>
      <c r="P299" s="2" t="s">
        <v>5356</v>
      </c>
      <c r="Q299" s="2" t="s">
        <v>5357</v>
      </c>
      <c r="R299" s="2" t="s">
        <v>5358</v>
      </c>
      <c r="S299" s="2" t="s">
        <v>5359</v>
      </c>
      <c r="T299" s="2" t="s">
        <v>86</v>
      </c>
      <c r="U299" s="2" t="s">
        <v>86</v>
      </c>
      <c r="V299" s="2" t="s">
        <v>86</v>
      </c>
      <c r="W299" s="2" t="s">
        <v>80</v>
      </c>
      <c r="X299" s="4">
        <v>42</v>
      </c>
      <c r="Y299" s="4">
        <v>9</v>
      </c>
      <c r="Z299" s="4">
        <v>9</v>
      </c>
      <c r="AA299" s="4">
        <v>1</v>
      </c>
      <c r="AB299" s="4">
        <v>43</v>
      </c>
      <c r="AC299" s="2" t="s">
        <v>956</v>
      </c>
      <c r="AD299" s="2" t="s">
        <v>957</v>
      </c>
      <c r="AE299" s="2" t="s">
        <v>958</v>
      </c>
      <c r="AF299" s="2" t="s">
        <v>5360</v>
      </c>
      <c r="AG299" s="2" t="s">
        <v>5361</v>
      </c>
      <c r="AH299" s="2" t="s">
        <v>86</v>
      </c>
      <c r="AI299" s="2" t="s">
        <v>5362</v>
      </c>
      <c r="AJ299" s="2" t="s">
        <v>5363</v>
      </c>
      <c r="AK299" s="2" t="s">
        <v>873</v>
      </c>
      <c r="AL299" s="4">
        <v>2014</v>
      </c>
      <c r="AM299" s="4">
        <v>200</v>
      </c>
      <c r="AN299" s="4">
        <v>5</v>
      </c>
      <c r="AO299" s="2" t="s">
        <v>86</v>
      </c>
      <c r="AP299" s="2" t="s">
        <v>86</v>
      </c>
      <c r="AQ299" s="2" t="s">
        <v>963</v>
      </c>
      <c r="AR299" s="2" t="s">
        <v>86</v>
      </c>
      <c r="AS299" s="4">
        <v>361</v>
      </c>
      <c r="AT299" s="4">
        <v>370</v>
      </c>
      <c r="AU299" s="2" t="s">
        <v>86</v>
      </c>
      <c r="AV299" s="2" t="s">
        <v>86</v>
      </c>
      <c r="AW299" s="2" t="s">
        <v>86</v>
      </c>
      <c r="AX299" s="4">
        <v>10</v>
      </c>
      <c r="AY299" s="2" t="s">
        <v>5364</v>
      </c>
      <c r="AZ299" s="2" t="s">
        <v>92</v>
      </c>
      <c r="BA299" s="2" t="s">
        <v>4719</v>
      </c>
      <c r="BB299" s="2" t="s">
        <v>5365</v>
      </c>
      <c r="BC299" s="2" t="s">
        <v>86</v>
      </c>
      <c r="BD299" s="2" t="s">
        <v>86</v>
      </c>
      <c r="BE299" s="2" t="s">
        <v>86</v>
      </c>
      <c r="BF299" s="2" t="s">
        <v>86</v>
      </c>
      <c r="BG299" s="2" t="s">
        <v>95</v>
      </c>
      <c r="BH299" s="2" t="s">
        <v>5366</v>
      </c>
      <c r="BI299" s="2" t="str">
        <f>HYPERLINK("https%3A%2F%2Fwww.webofscience.com%2Fwos%2Fwoscc%2Ffull-record%2FWOS:000341773200005","View Full Record in Web of Science")</f>
        <v>View Full Record in Web of Science</v>
      </c>
    </row>
    <row r="300" spans="1:61" customFormat="1" ht="12.75" x14ac:dyDescent="0.2">
      <c r="A300" s="1">
        <v>297</v>
      </c>
      <c r="B300" s="1" t="s">
        <v>1068</v>
      </c>
      <c r="C300" s="1" t="s">
        <v>5367</v>
      </c>
      <c r="D300" s="2" t="s">
        <v>5368</v>
      </c>
      <c r="E300" s="2" t="s">
        <v>5369</v>
      </c>
      <c r="F300" s="3" t="str">
        <f>HYPERLINK("http://dx.doi.org/10.1016/j.conbuildmat.2017.03.236","http://dx.doi.org/10.1016/j.conbuildmat.2017.03.236")</f>
        <v>http://dx.doi.org/10.1016/j.conbuildmat.2017.03.236</v>
      </c>
      <c r="G300" s="2" t="s">
        <v>200</v>
      </c>
      <c r="H300" s="2" t="s">
        <v>5370</v>
      </c>
      <c r="I300" s="2" t="s">
        <v>5371</v>
      </c>
      <c r="J300" s="2" t="s">
        <v>4425</v>
      </c>
      <c r="K300" s="2" t="s">
        <v>68</v>
      </c>
      <c r="L300" s="2" t="s">
        <v>5372</v>
      </c>
      <c r="M300" s="2" t="s">
        <v>5373</v>
      </c>
      <c r="N300" s="2" t="s">
        <v>5374</v>
      </c>
      <c r="O300" s="2" t="s">
        <v>5375</v>
      </c>
      <c r="P300" s="2" t="s">
        <v>5376</v>
      </c>
      <c r="Q300" s="2" t="s">
        <v>5377</v>
      </c>
      <c r="R300" s="2" t="s">
        <v>5378</v>
      </c>
      <c r="S300" s="2" t="s">
        <v>5379</v>
      </c>
      <c r="T300" s="2" t="s">
        <v>5380</v>
      </c>
      <c r="U300" s="2" t="s">
        <v>2090</v>
      </c>
      <c r="V300" s="2" t="s">
        <v>5381</v>
      </c>
      <c r="W300" s="2" t="s">
        <v>80</v>
      </c>
      <c r="X300" s="4">
        <v>35</v>
      </c>
      <c r="Y300" s="4">
        <v>83</v>
      </c>
      <c r="Z300" s="4">
        <v>83</v>
      </c>
      <c r="AA300" s="4">
        <v>4</v>
      </c>
      <c r="AB300" s="4">
        <v>98</v>
      </c>
      <c r="AC300" s="2" t="s">
        <v>114</v>
      </c>
      <c r="AD300" s="2" t="s">
        <v>115</v>
      </c>
      <c r="AE300" s="2" t="s">
        <v>116</v>
      </c>
      <c r="AF300" s="2" t="s">
        <v>4436</v>
      </c>
      <c r="AG300" s="2" t="s">
        <v>4437</v>
      </c>
      <c r="AH300" s="2" t="s">
        <v>86</v>
      </c>
      <c r="AI300" s="2" t="s">
        <v>4438</v>
      </c>
      <c r="AJ300" s="2" t="s">
        <v>4439</v>
      </c>
      <c r="AK300" s="2" t="s">
        <v>592</v>
      </c>
      <c r="AL300" s="4">
        <v>2017</v>
      </c>
      <c r="AM300" s="4">
        <v>145</v>
      </c>
      <c r="AN300" s="2" t="s">
        <v>86</v>
      </c>
      <c r="AO300" s="2" t="s">
        <v>86</v>
      </c>
      <c r="AP300" s="2" t="s">
        <v>86</v>
      </c>
      <c r="AQ300" s="2" t="s">
        <v>86</v>
      </c>
      <c r="AR300" s="2" t="s">
        <v>86</v>
      </c>
      <c r="AS300" s="4">
        <v>1</v>
      </c>
      <c r="AT300" s="4">
        <v>10</v>
      </c>
      <c r="AU300" s="2" t="s">
        <v>86</v>
      </c>
      <c r="AV300" s="2" t="s">
        <v>86</v>
      </c>
      <c r="AW300" s="2" t="s">
        <v>86</v>
      </c>
      <c r="AX300" s="4">
        <v>10</v>
      </c>
      <c r="AY300" s="2" t="s">
        <v>4441</v>
      </c>
      <c r="AZ300" s="2" t="s">
        <v>92</v>
      </c>
      <c r="BA300" s="2" t="s">
        <v>4442</v>
      </c>
      <c r="BB300" s="2" t="s">
        <v>5382</v>
      </c>
      <c r="BC300" s="2" t="s">
        <v>86</v>
      </c>
      <c r="BD300" s="2" t="s">
        <v>86</v>
      </c>
      <c r="BE300" s="2" t="s">
        <v>86</v>
      </c>
      <c r="BF300" s="2" t="s">
        <v>86</v>
      </c>
      <c r="BG300" s="2" t="s">
        <v>95</v>
      </c>
      <c r="BH300" s="2" t="s">
        <v>5383</v>
      </c>
      <c r="BI300" s="2" t="str">
        <f>HYPERLINK("https%3A%2F%2Fwww.webofscience.com%2Fwos%2Fwoscc%2Ffull-record%2FWOS:000401876800001","View Full Record in Web of Science")</f>
        <v>View Full Record in Web of Science</v>
      </c>
    </row>
    <row r="301" spans="1:61" customFormat="1" ht="12.75" x14ac:dyDescent="0.2">
      <c r="A301" s="1">
        <v>298</v>
      </c>
      <c r="B301" s="1" t="s">
        <v>1068</v>
      </c>
      <c r="C301" s="1" t="s">
        <v>5384</v>
      </c>
      <c r="D301" s="2" t="s">
        <v>5385</v>
      </c>
      <c r="E301" s="2" t="s">
        <v>5386</v>
      </c>
      <c r="F301" s="3" t="str">
        <f>HYPERLINK("http://dx.doi.org/10.5277/epe150310","http://dx.doi.org/10.5277/epe150310")</f>
        <v>http://dx.doi.org/10.5277/epe150310</v>
      </c>
      <c r="G301" s="2" t="s">
        <v>200</v>
      </c>
      <c r="H301" s="2" t="s">
        <v>5387</v>
      </c>
      <c r="I301" s="2" t="s">
        <v>5388</v>
      </c>
      <c r="J301" s="2" t="s">
        <v>5389</v>
      </c>
      <c r="K301" s="2" t="s">
        <v>68</v>
      </c>
      <c r="L301" s="2" t="s">
        <v>86</v>
      </c>
      <c r="M301" s="2" t="s">
        <v>5390</v>
      </c>
      <c r="N301" s="2" t="s">
        <v>5391</v>
      </c>
      <c r="O301" s="2" t="s">
        <v>5392</v>
      </c>
      <c r="P301" s="2" t="s">
        <v>5393</v>
      </c>
      <c r="Q301" s="2" t="s">
        <v>5394</v>
      </c>
      <c r="R301" s="2" t="s">
        <v>5395</v>
      </c>
      <c r="S301" s="2" t="s">
        <v>5396</v>
      </c>
      <c r="T301" s="2" t="s">
        <v>86</v>
      </c>
      <c r="U301" s="2" t="s">
        <v>86</v>
      </c>
      <c r="V301" s="2" t="s">
        <v>86</v>
      </c>
      <c r="W301" s="2" t="s">
        <v>80</v>
      </c>
      <c r="X301" s="4">
        <v>15</v>
      </c>
      <c r="Y301" s="4">
        <v>4</v>
      </c>
      <c r="Z301" s="4">
        <v>4</v>
      </c>
      <c r="AA301" s="4">
        <v>0</v>
      </c>
      <c r="AB301" s="4">
        <v>25</v>
      </c>
      <c r="AC301" s="2" t="s">
        <v>5397</v>
      </c>
      <c r="AD301" s="2" t="s">
        <v>5398</v>
      </c>
      <c r="AE301" s="2" t="s">
        <v>5399</v>
      </c>
      <c r="AF301" s="2" t="s">
        <v>5400</v>
      </c>
      <c r="AG301" s="2" t="s">
        <v>86</v>
      </c>
      <c r="AH301" s="2" t="s">
        <v>86</v>
      </c>
      <c r="AI301" s="2" t="s">
        <v>5401</v>
      </c>
      <c r="AJ301" s="2" t="s">
        <v>5402</v>
      </c>
      <c r="AK301" s="2" t="s">
        <v>86</v>
      </c>
      <c r="AL301" s="4">
        <v>2015</v>
      </c>
      <c r="AM301" s="4">
        <v>41</v>
      </c>
      <c r="AN301" s="4">
        <v>3</v>
      </c>
      <c r="AO301" s="2" t="s">
        <v>86</v>
      </c>
      <c r="AP301" s="2" t="s">
        <v>86</v>
      </c>
      <c r="AQ301" s="2" t="s">
        <v>86</v>
      </c>
      <c r="AR301" s="2" t="s">
        <v>86</v>
      </c>
      <c r="AS301" s="4">
        <v>137</v>
      </c>
      <c r="AT301" s="4">
        <v>145</v>
      </c>
      <c r="AU301" s="2" t="s">
        <v>86</v>
      </c>
      <c r="AV301" s="2" t="s">
        <v>86</v>
      </c>
      <c r="AW301" s="2" t="s">
        <v>86</v>
      </c>
      <c r="AX301" s="4">
        <v>9</v>
      </c>
      <c r="AY301" s="2" t="s">
        <v>5403</v>
      </c>
      <c r="AZ301" s="2" t="s">
        <v>92</v>
      </c>
      <c r="BA301" s="2" t="s">
        <v>345</v>
      </c>
      <c r="BB301" s="2" t="s">
        <v>5404</v>
      </c>
      <c r="BC301" s="2" t="s">
        <v>86</v>
      </c>
      <c r="BD301" s="2" t="s">
        <v>86</v>
      </c>
      <c r="BE301" s="2" t="s">
        <v>86</v>
      </c>
      <c r="BF301" s="2" t="s">
        <v>86</v>
      </c>
      <c r="BG301" s="2" t="s">
        <v>95</v>
      </c>
      <c r="BH301" s="2" t="s">
        <v>5405</v>
      </c>
      <c r="BI301" s="2" t="str">
        <f>HYPERLINK("https%3A%2F%2Fwww.webofscience.com%2Fwos%2Fwoscc%2Ffull-record%2FWOS:000363354500010","View Full Record in Web of Science")</f>
        <v>View Full Record in Web of Science</v>
      </c>
    </row>
    <row r="302" spans="1:61" customFormat="1" ht="12.75" x14ac:dyDescent="0.2">
      <c r="A302" s="1">
        <v>299</v>
      </c>
      <c r="B302" s="1" t="s">
        <v>1068</v>
      </c>
      <c r="C302" s="1" t="s">
        <v>5406</v>
      </c>
      <c r="D302" s="2" t="s">
        <v>5407</v>
      </c>
      <c r="E302" s="2" t="s">
        <v>5408</v>
      </c>
      <c r="F302" s="3" t="str">
        <f>HYPERLINK("http://dx.doi.org/10.1016/j.marpolbul.2021.113246","http://dx.doi.org/10.1016/j.marpolbul.2021.113246")</f>
        <v>http://dx.doi.org/10.1016/j.marpolbul.2021.113246</v>
      </c>
      <c r="G302" s="2" t="s">
        <v>200</v>
      </c>
      <c r="H302" s="2" t="s">
        <v>5409</v>
      </c>
      <c r="I302" s="2" t="s">
        <v>5410</v>
      </c>
      <c r="J302" s="2" t="s">
        <v>424</v>
      </c>
      <c r="K302" s="2" t="s">
        <v>68</v>
      </c>
      <c r="L302" s="2" t="s">
        <v>5411</v>
      </c>
      <c r="M302" s="2" t="s">
        <v>5412</v>
      </c>
      <c r="N302" s="2" t="s">
        <v>5413</v>
      </c>
      <c r="O302" s="2" t="s">
        <v>5414</v>
      </c>
      <c r="P302" s="2" t="s">
        <v>5415</v>
      </c>
      <c r="Q302" s="2" t="s">
        <v>5416</v>
      </c>
      <c r="R302" s="2" t="s">
        <v>5417</v>
      </c>
      <c r="S302" s="2" t="s">
        <v>5418</v>
      </c>
      <c r="T302" s="2" t="s">
        <v>5419</v>
      </c>
      <c r="U302" s="2" t="s">
        <v>5420</v>
      </c>
      <c r="V302" s="2" t="s">
        <v>5421</v>
      </c>
      <c r="W302" s="2" t="s">
        <v>80</v>
      </c>
      <c r="X302" s="4">
        <v>74</v>
      </c>
      <c r="Y302" s="4">
        <v>21</v>
      </c>
      <c r="Z302" s="4">
        <v>21</v>
      </c>
      <c r="AA302" s="4">
        <v>1</v>
      </c>
      <c r="AB302" s="4">
        <v>11</v>
      </c>
      <c r="AC302" s="2" t="s">
        <v>237</v>
      </c>
      <c r="AD302" s="2" t="s">
        <v>115</v>
      </c>
      <c r="AE302" s="2" t="s">
        <v>238</v>
      </c>
      <c r="AF302" s="2" t="s">
        <v>436</v>
      </c>
      <c r="AG302" s="2" t="s">
        <v>437</v>
      </c>
      <c r="AH302" s="2" t="s">
        <v>86</v>
      </c>
      <c r="AI302" s="2" t="s">
        <v>438</v>
      </c>
      <c r="AJ302" s="2" t="s">
        <v>439</v>
      </c>
      <c r="AK302" s="2" t="s">
        <v>534</v>
      </c>
      <c r="AL302" s="4">
        <v>2022</v>
      </c>
      <c r="AM302" s="4">
        <v>174</v>
      </c>
      <c r="AN302" s="2" t="s">
        <v>86</v>
      </c>
      <c r="AO302" s="2" t="s">
        <v>86</v>
      </c>
      <c r="AP302" s="2" t="s">
        <v>86</v>
      </c>
      <c r="AQ302" s="2" t="s">
        <v>86</v>
      </c>
      <c r="AR302" s="2" t="s">
        <v>86</v>
      </c>
      <c r="AS302" s="2" t="s">
        <v>86</v>
      </c>
      <c r="AT302" s="2" t="s">
        <v>86</v>
      </c>
      <c r="AU302" s="4">
        <v>113246</v>
      </c>
      <c r="AV302" s="2" t="s">
        <v>86</v>
      </c>
      <c r="AW302" s="2" t="s">
        <v>90</v>
      </c>
      <c r="AX302" s="4">
        <v>7</v>
      </c>
      <c r="AY302" s="2" t="s">
        <v>441</v>
      </c>
      <c r="AZ302" s="2" t="s">
        <v>92</v>
      </c>
      <c r="BA302" s="2" t="s">
        <v>442</v>
      </c>
      <c r="BB302" s="2" t="s">
        <v>5422</v>
      </c>
      <c r="BC302" s="4">
        <v>34952406</v>
      </c>
      <c r="BD302" s="2" t="s">
        <v>86</v>
      </c>
      <c r="BE302" s="2" t="s">
        <v>86</v>
      </c>
      <c r="BF302" s="2" t="s">
        <v>86</v>
      </c>
      <c r="BG302" s="2" t="s">
        <v>95</v>
      </c>
      <c r="BH302" s="2" t="s">
        <v>5423</v>
      </c>
      <c r="BI302" s="2" t="str">
        <f>HYPERLINK("https%3A%2F%2Fwww.webofscience.com%2Fwos%2Fwoscc%2Ffull-record%2FWOS:000737154100001","View Full Record in Web of Science")</f>
        <v>View Full Record in Web of Science</v>
      </c>
    </row>
    <row r="303" spans="1:61" customFormat="1" ht="12.75" x14ac:dyDescent="0.2">
      <c r="A303" s="1">
        <v>300</v>
      </c>
      <c r="B303" s="1" t="s">
        <v>1068</v>
      </c>
      <c r="C303" s="1" t="s">
        <v>5424</v>
      </c>
      <c r="D303" s="2" t="s">
        <v>5425</v>
      </c>
      <c r="E303" s="2" t="s">
        <v>5426</v>
      </c>
      <c r="F303" s="3" t="str">
        <f>HYPERLINK("http://dx.doi.org/10.1016/j.est.2022.106329","http://dx.doi.org/10.1016/j.est.2022.106329")</f>
        <v>http://dx.doi.org/10.1016/j.est.2022.106329</v>
      </c>
      <c r="G303" s="2" t="s">
        <v>200</v>
      </c>
      <c r="H303" s="2" t="s">
        <v>5427</v>
      </c>
      <c r="I303" s="2" t="s">
        <v>5428</v>
      </c>
      <c r="J303" s="2" t="s">
        <v>5429</v>
      </c>
      <c r="K303" s="2" t="s">
        <v>68</v>
      </c>
      <c r="L303" s="2" t="s">
        <v>5430</v>
      </c>
      <c r="M303" s="2" t="s">
        <v>5431</v>
      </c>
      <c r="N303" s="2" t="s">
        <v>5432</v>
      </c>
      <c r="O303" s="2" t="s">
        <v>5433</v>
      </c>
      <c r="P303" s="2" t="s">
        <v>5434</v>
      </c>
      <c r="Q303" s="2" t="s">
        <v>5435</v>
      </c>
      <c r="R303" s="2" t="s">
        <v>86</v>
      </c>
      <c r="S303" s="2" t="s">
        <v>86</v>
      </c>
      <c r="T303" s="2" t="s">
        <v>5436</v>
      </c>
      <c r="U303" s="2" t="s">
        <v>5437</v>
      </c>
      <c r="V303" s="2" t="s">
        <v>5438</v>
      </c>
      <c r="W303" s="2" t="s">
        <v>80</v>
      </c>
      <c r="X303" s="4">
        <v>63</v>
      </c>
      <c r="Y303" s="4">
        <v>0</v>
      </c>
      <c r="Z303" s="4">
        <v>0</v>
      </c>
      <c r="AA303" s="4">
        <v>19</v>
      </c>
      <c r="AB303" s="4">
        <v>19</v>
      </c>
      <c r="AC303" s="2" t="s">
        <v>585</v>
      </c>
      <c r="AD303" s="2" t="s">
        <v>586</v>
      </c>
      <c r="AE303" s="2" t="s">
        <v>587</v>
      </c>
      <c r="AF303" s="2" t="s">
        <v>5439</v>
      </c>
      <c r="AG303" s="2" t="s">
        <v>5440</v>
      </c>
      <c r="AH303" s="2" t="s">
        <v>86</v>
      </c>
      <c r="AI303" s="2" t="s">
        <v>5441</v>
      </c>
      <c r="AJ303" s="2" t="s">
        <v>5442</v>
      </c>
      <c r="AK303" s="2" t="s">
        <v>146</v>
      </c>
      <c r="AL303" s="4">
        <v>2023</v>
      </c>
      <c r="AM303" s="4">
        <v>58</v>
      </c>
      <c r="AN303" s="2" t="s">
        <v>86</v>
      </c>
      <c r="AO303" s="2" t="s">
        <v>86</v>
      </c>
      <c r="AP303" s="2" t="s">
        <v>86</v>
      </c>
      <c r="AQ303" s="2" t="s">
        <v>86</v>
      </c>
      <c r="AR303" s="2" t="s">
        <v>86</v>
      </c>
      <c r="AS303" s="2" t="s">
        <v>86</v>
      </c>
      <c r="AT303" s="2" t="s">
        <v>86</v>
      </c>
      <c r="AU303" s="4">
        <v>106329</v>
      </c>
      <c r="AV303" s="2" t="s">
        <v>86</v>
      </c>
      <c r="AW303" s="2" t="s">
        <v>391</v>
      </c>
      <c r="AX303" s="4">
        <v>11</v>
      </c>
      <c r="AY303" s="2" t="s">
        <v>5443</v>
      </c>
      <c r="AZ303" s="2" t="s">
        <v>92</v>
      </c>
      <c r="BA303" s="2" t="s">
        <v>5443</v>
      </c>
      <c r="BB303" s="2" t="s">
        <v>5444</v>
      </c>
      <c r="BC303" s="2" t="s">
        <v>86</v>
      </c>
      <c r="BD303" s="2" t="s">
        <v>86</v>
      </c>
      <c r="BE303" s="2" t="s">
        <v>86</v>
      </c>
      <c r="BF303" s="2" t="s">
        <v>86</v>
      </c>
      <c r="BG303" s="2" t="s">
        <v>95</v>
      </c>
      <c r="BH303" s="2" t="s">
        <v>5445</v>
      </c>
      <c r="BI303" s="2" t="str">
        <f>HYPERLINK("https%3A%2F%2Fwww.webofscience.com%2Fwos%2Fwoscc%2Ffull-record%2FWOS:000909717500001","View Full Record in Web of Science")</f>
        <v>View Full Record in Web of Science</v>
      </c>
    </row>
    <row r="304" spans="1:61" customFormat="1" ht="12.75" x14ac:dyDescent="0.2">
      <c r="A304" s="1">
        <v>301</v>
      </c>
      <c r="B304" s="1" t="s">
        <v>1068</v>
      </c>
      <c r="C304" s="1" t="s">
        <v>5446</v>
      </c>
      <c r="D304" s="2" t="s">
        <v>5447</v>
      </c>
      <c r="E304" s="2" t="s">
        <v>86</v>
      </c>
      <c r="F304" s="2" t="s">
        <v>86</v>
      </c>
      <c r="G304" s="2" t="s">
        <v>200</v>
      </c>
      <c r="H304" s="2" t="s">
        <v>5448</v>
      </c>
      <c r="I304" s="2" t="s">
        <v>5449</v>
      </c>
      <c r="J304" s="2" t="s">
        <v>1868</v>
      </c>
      <c r="K304" s="2" t="s">
        <v>68</v>
      </c>
      <c r="L304" s="2" t="s">
        <v>5450</v>
      </c>
      <c r="M304" s="2" t="s">
        <v>5451</v>
      </c>
      <c r="N304" s="2" t="s">
        <v>5452</v>
      </c>
      <c r="O304" s="2" t="s">
        <v>5453</v>
      </c>
      <c r="P304" s="2" t="s">
        <v>5454</v>
      </c>
      <c r="Q304" s="2" t="s">
        <v>5455</v>
      </c>
      <c r="R304" s="2" t="s">
        <v>5456</v>
      </c>
      <c r="S304" s="2" t="s">
        <v>5457</v>
      </c>
      <c r="T304" s="2" t="s">
        <v>86</v>
      </c>
      <c r="U304" s="2" t="s">
        <v>86</v>
      </c>
      <c r="V304" s="2" t="s">
        <v>86</v>
      </c>
      <c r="W304" s="2" t="s">
        <v>80</v>
      </c>
      <c r="X304" s="4">
        <v>35</v>
      </c>
      <c r="Y304" s="4">
        <v>14</v>
      </c>
      <c r="Z304" s="4">
        <v>16</v>
      </c>
      <c r="AA304" s="4">
        <v>1</v>
      </c>
      <c r="AB304" s="4">
        <v>6</v>
      </c>
      <c r="AC304" s="2" t="s">
        <v>1873</v>
      </c>
      <c r="AD304" s="2" t="s">
        <v>1874</v>
      </c>
      <c r="AE304" s="2" t="s">
        <v>1875</v>
      </c>
      <c r="AF304" s="2" t="s">
        <v>1876</v>
      </c>
      <c r="AG304" s="2" t="s">
        <v>86</v>
      </c>
      <c r="AH304" s="2" t="s">
        <v>86</v>
      </c>
      <c r="AI304" s="2" t="s">
        <v>1878</v>
      </c>
      <c r="AJ304" s="2" t="s">
        <v>1879</v>
      </c>
      <c r="AK304" s="2" t="s">
        <v>86</v>
      </c>
      <c r="AL304" s="4">
        <v>2009</v>
      </c>
      <c r="AM304" s="4">
        <v>15</v>
      </c>
      <c r="AN304" s="4">
        <v>2</v>
      </c>
      <c r="AO304" s="2" t="s">
        <v>86</v>
      </c>
      <c r="AP304" s="2" t="s">
        <v>86</v>
      </c>
      <c r="AQ304" s="2" t="s">
        <v>86</v>
      </c>
      <c r="AR304" s="2" t="s">
        <v>86</v>
      </c>
      <c r="AS304" s="4">
        <v>195</v>
      </c>
      <c r="AT304" s="4">
        <v>199</v>
      </c>
      <c r="AU304" s="2" t="s">
        <v>86</v>
      </c>
      <c r="AV304" s="2" t="s">
        <v>86</v>
      </c>
      <c r="AW304" s="2" t="s">
        <v>86</v>
      </c>
      <c r="AX304" s="4">
        <v>5</v>
      </c>
      <c r="AY304" s="2" t="s">
        <v>1881</v>
      </c>
      <c r="AZ304" s="2" t="s">
        <v>92</v>
      </c>
      <c r="BA304" s="2" t="s">
        <v>1881</v>
      </c>
      <c r="BB304" s="2" t="s">
        <v>5458</v>
      </c>
      <c r="BC304" s="2" t="s">
        <v>86</v>
      </c>
      <c r="BD304" s="2" t="s">
        <v>86</v>
      </c>
      <c r="BE304" s="2" t="s">
        <v>86</v>
      </c>
      <c r="BF304" s="2" t="s">
        <v>86</v>
      </c>
      <c r="BG304" s="2" t="s">
        <v>95</v>
      </c>
      <c r="BH304" s="2" t="s">
        <v>5459</v>
      </c>
      <c r="BI304" s="2" t="str">
        <f>HYPERLINK("https%3A%2F%2Fwww.webofscience.com%2Fwos%2Fwoscc%2Ffull-record%2FWOS:000266282200008","View Full Record in Web of Science")</f>
        <v>View Full Record in Web of Science</v>
      </c>
    </row>
    <row r="305" spans="1:61" customFormat="1" ht="12.75" x14ac:dyDescent="0.2">
      <c r="A305" s="1">
        <v>302</v>
      </c>
      <c r="B305" s="1" t="s">
        <v>1068</v>
      </c>
      <c r="C305" s="1" t="s">
        <v>5460</v>
      </c>
      <c r="D305" s="2" t="s">
        <v>5461</v>
      </c>
      <c r="E305" s="2" t="s">
        <v>5462</v>
      </c>
      <c r="F305" s="3" t="str">
        <f>HYPERLINK("http://dx.doi.org/10.3791/59466","http://dx.doi.org/10.3791/59466")</f>
        <v>http://dx.doi.org/10.3791/59466</v>
      </c>
      <c r="G305" s="2" t="s">
        <v>200</v>
      </c>
      <c r="H305" s="2" t="s">
        <v>5463</v>
      </c>
      <c r="I305" s="2" t="s">
        <v>5464</v>
      </c>
      <c r="J305" s="2" t="s">
        <v>5465</v>
      </c>
      <c r="K305" s="2" t="s">
        <v>68</v>
      </c>
      <c r="L305" s="2" t="s">
        <v>5466</v>
      </c>
      <c r="M305" s="2" t="s">
        <v>5467</v>
      </c>
      <c r="N305" s="2" t="s">
        <v>5468</v>
      </c>
      <c r="O305" s="2" t="s">
        <v>5469</v>
      </c>
      <c r="P305" s="2" t="s">
        <v>5470</v>
      </c>
      <c r="Q305" s="2" t="s">
        <v>5471</v>
      </c>
      <c r="R305" s="2" t="s">
        <v>5472</v>
      </c>
      <c r="S305" s="2" t="s">
        <v>5473</v>
      </c>
      <c r="T305" s="2" t="s">
        <v>5474</v>
      </c>
      <c r="U305" s="2" t="s">
        <v>5475</v>
      </c>
      <c r="V305" s="2" t="s">
        <v>5476</v>
      </c>
      <c r="W305" s="2" t="s">
        <v>80</v>
      </c>
      <c r="X305" s="4">
        <v>42</v>
      </c>
      <c r="Y305" s="4">
        <v>16</v>
      </c>
      <c r="Z305" s="4">
        <v>16</v>
      </c>
      <c r="AA305" s="4">
        <v>2</v>
      </c>
      <c r="AB305" s="4">
        <v>38</v>
      </c>
      <c r="AC305" s="2" t="s">
        <v>5477</v>
      </c>
      <c r="AD305" s="2" t="s">
        <v>4613</v>
      </c>
      <c r="AE305" s="2" t="s">
        <v>5478</v>
      </c>
      <c r="AF305" s="2" t="s">
        <v>5479</v>
      </c>
      <c r="AG305" s="2" t="s">
        <v>86</v>
      </c>
      <c r="AH305" s="2" t="s">
        <v>86</v>
      </c>
      <c r="AI305" s="2" t="s">
        <v>5480</v>
      </c>
      <c r="AJ305" s="2" t="s">
        <v>5481</v>
      </c>
      <c r="AK305" s="2" t="s">
        <v>1220</v>
      </c>
      <c r="AL305" s="4">
        <v>2019</v>
      </c>
      <c r="AM305" s="2" t="s">
        <v>86</v>
      </c>
      <c r="AN305" s="4">
        <v>147</v>
      </c>
      <c r="AO305" s="2" t="s">
        <v>86</v>
      </c>
      <c r="AP305" s="2" t="s">
        <v>86</v>
      </c>
      <c r="AQ305" s="2" t="s">
        <v>86</v>
      </c>
      <c r="AR305" s="2" t="s">
        <v>86</v>
      </c>
      <c r="AS305" s="2" t="s">
        <v>86</v>
      </c>
      <c r="AT305" s="2" t="s">
        <v>86</v>
      </c>
      <c r="AU305" s="2" t="s">
        <v>5482</v>
      </c>
      <c r="AV305" s="2" t="s">
        <v>86</v>
      </c>
      <c r="AW305" s="2" t="s">
        <v>86</v>
      </c>
      <c r="AX305" s="4">
        <v>9</v>
      </c>
      <c r="AY305" s="2" t="s">
        <v>3080</v>
      </c>
      <c r="AZ305" s="2" t="s">
        <v>92</v>
      </c>
      <c r="BA305" s="2" t="s">
        <v>3081</v>
      </c>
      <c r="BB305" s="2" t="s">
        <v>5483</v>
      </c>
      <c r="BC305" s="4">
        <v>31180365</v>
      </c>
      <c r="BD305" s="2" t="s">
        <v>659</v>
      </c>
      <c r="BE305" s="2" t="s">
        <v>86</v>
      </c>
      <c r="BF305" s="2" t="s">
        <v>86</v>
      </c>
      <c r="BG305" s="2" t="s">
        <v>95</v>
      </c>
      <c r="BH305" s="2" t="s">
        <v>5484</v>
      </c>
      <c r="BI305" s="2" t="str">
        <f>HYPERLINK("https%3A%2F%2Fwww.webofscience.com%2Fwos%2Fwoscc%2Ffull-record%2FWOS:000469977600082","View Full Record in Web of Science")</f>
        <v>View Full Record in Web of Science</v>
      </c>
    </row>
    <row r="306" spans="1:61" customFormat="1" ht="12.75" x14ac:dyDescent="0.2">
      <c r="A306" s="1">
        <v>303</v>
      </c>
      <c r="B306" s="1" t="s">
        <v>1068</v>
      </c>
      <c r="C306" s="1" t="s">
        <v>5485</v>
      </c>
      <c r="D306" s="2" t="s">
        <v>5486</v>
      </c>
      <c r="E306" s="2" t="s">
        <v>5487</v>
      </c>
      <c r="F306" s="3" t="str">
        <f>HYPERLINK("http://dx.doi.org/10.3992/jgb.16.3.135","http://dx.doi.org/10.3992/jgb.16.3.135")</f>
        <v>http://dx.doi.org/10.3992/jgb.16.3.135</v>
      </c>
      <c r="G306" s="2" t="s">
        <v>200</v>
      </c>
      <c r="H306" s="2" t="s">
        <v>5488</v>
      </c>
      <c r="I306" s="2" t="s">
        <v>5489</v>
      </c>
      <c r="J306" s="2" t="s">
        <v>5490</v>
      </c>
      <c r="K306" s="2" t="s">
        <v>68</v>
      </c>
      <c r="L306" s="2" t="s">
        <v>5491</v>
      </c>
      <c r="M306" s="2" t="s">
        <v>5492</v>
      </c>
      <c r="N306" s="2" t="s">
        <v>5493</v>
      </c>
      <c r="O306" s="2" t="s">
        <v>5494</v>
      </c>
      <c r="P306" s="2" t="s">
        <v>5495</v>
      </c>
      <c r="Q306" s="2" t="s">
        <v>5496</v>
      </c>
      <c r="R306" s="2" t="s">
        <v>5497</v>
      </c>
      <c r="S306" s="2" t="s">
        <v>5498</v>
      </c>
      <c r="T306" s="2" t="s">
        <v>5499</v>
      </c>
      <c r="U306" s="2" t="s">
        <v>5500</v>
      </c>
      <c r="V306" s="2" t="s">
        <v>5501</v>
      </c>
      <c r="W306" s="2" t="s">
        <v>80</v>
      </c>
      <c r="X306" s="4">
        <v>69</v>
      </c>
      <c r="Y306" s="4">
        <v>4</v>
      </c>
      <c r="Z306" s="4">
        <v>4</v>
      </c>
      <c r="AA306" s="4">
        <v>0</v>
      </c>
      <c r="AB306" s="4">
        <v>14</v>
      </c>
      <c r="AC306" s="2" t="s">
        <v>5502</v>
      </c>
      <c r="AD306" s="2" t="s">
        <v>5503</v>
      </c>
      <c r="AE306" s="2" t="s">
        <v>5504</v>
      </c>
      <c r="AF306" s="2" t="s">
        <v>5505</v>
      </c>
      <c r="AG306" s="2" t="s">
        <v>5506</v>
      </c>
      <c r="AH306" s="2" t="s">
        <v>86</v>
      </c>
      <c r="AI306" s="2" t="s">
        <v>5507</v>
      </c>
      <c r="AJ306" s="2" t="s">
        <v>5508</v>
      </c>
      <c r="AK306" s="2" t="s">
        <v>86</v>
      </c>
      <c r="AL306" s="4">
        <v>2021</v>
      </c>
      <c r="AM306" s="4">
        <v>16</v>
      </c>
      <c r="AN306" s="4">
        <v>3</v>
      </c>
      <c r="AO306" s="2" t="s">
        <v>86</v>
      </c>
      <c r="AP306" s="2" t="s">
        <v>86</v>
      </c>
      <c r="AQ306" s="2" t="s">
        <v>86</v>
      </c>
      <c r="AR306" s="2" t="s">
        <v>86</v>
      </c>
      <c r="AS306" s="4">
        <v>135</v>
      </c>
      <c r="AT306" s="4">
        <v>153</v>
      </c>
      <c r="AU306" s="2" t="s">
        <v>86</v>
      </c>
      <c r="AV306" s="2" t="s">
        <v>86</v>
      </c>
      <c r="AW306" s="2" t="s">
        <v>86</v>
      </c>
      <c r="AX306" s="4">
        <v>19</v>
      </c>
      <c r="AY306" s="2" t="s">
        <v>5509</v>
      </c>
      <c r="AZ306" s="2" t="s">
        <v>698</v>
      </c>
      <c r="BA306" s="2" t="s">
        <v>5509</v>
      </c>
      <c r="BB306" s="2" t="s">
        <v>5510</v>
      </c>
      <c r="BC306" s="2" t="s">
        <v>86</v>
      </c>
      <c r="BD306" s="2" t="s">
        <v>86</v>
      </c>
      <c r="BE306" s="2" t="s">
        <v>86</v>
      </c>
      <c r="BF306" s="2" t="s">
        <v>86</v>
      </c>
      <c r="BG306" s="2" t="s">
        <v>95</v>
      </c>
      <c r="BH306" s="2" t="s">
        <v>5511</v>
      </c>
      <c r="BI306" s="2" t="str">
        <f>HYPERLINK("https%3A%2F%2Fwww.webofscience.com%2Fwos%2Fwoscc%2Ffull-record%2FWOS:000697535100003","View Full Record in Web of Science")</f>
        <v>View Full Record in Web of Science</v>
      </c>
    </row>
    <row r="307" spans="1:61" customFormat="1" ht="12.75" x14ac:dyDescent="0.2">
      <c r="A307" s="1">
        <v>304</v>
      </c>
      <c r="B307" s="1" t="s">
        <v>1068</v>
      </c>
      <c r="C307" s="1" t="s">
        <v>5512</v>
      </c>
      <c r="D307" s="2" t="s">
        <v>5513</v>
      </c>
      <c r="E307" s="2" t="s">
        <v>5514</v>
      </c>
      <c r="F307" s="3" t="str">
        <f>HYPERLINK("http://dx.doi.org/10.1515/pac-2017-0401","http://dx.doi.org/10.1515/pac-2017-0401")</f>
        <v>http://dx.doi.org/10.1515/pac-2017-0401</v>
      </c>
      <c r="G307" s="2" t="s">
        <v>200</v>
      </c>
      <c r="H307" s="2" t="s">
        <v>5515</v>
      </c>
      <c r="I307" s="2" t="s">
        <v>5516</v>
      </c>
      <c r="J307" s="2" t="s">
        <v>5517</v>
      </c>
      <c r="K307" s="2" t="s">
        <v>68</v>
      </c>
      <c r="L307" s="2" t="s">
        <v>5518</v>
      </c>
      <c r="M307" s="2" t="s">
        <v>5519</v>
      </c>
      <c r="N307" s="2" t="s">
        <v>5520</v>
      </c>
      <c r="O307" s="2" t="s">
        <v>5521</v>
      </c>
      <c r="P307" s="2" t="s">
        <v>5522</v>
      </c>
      <c r="Q307" s="2" t="s">
        <v>5523</v>
      </c>
      <c r="R307" s="2" t="s">
        <v>5524</v>
      </c>
      <c r="S307" s="2" t="s">
        <v>5525</v>
      </c>
      <c r="T307" s="2" t="s">
        <v>5526</v>
      </c>
      <c r="U307" s="2" t="s">
        <v>5527</v>
      </c>
      <c r="V307" s="2" t="s">
        <v>5528</v>
      </c>
      <c r="W307" s="2" t="s">
        <v>80</v>
      </c>
      <c r="X307" s="4">
        <v>46</v>
      </c>
      <c r="Y307" s="4">
        <v>64</v>
      </c>
      <c r="Z307" s="4">
        <v>66</v>
      </c>
      <c r="AA307" s="4">
        <v>7</v>
      </c>
      <c r="AB307" s="4">
        <v>68</v>
      </c>
      <c r="AC307" s="2" t="s">
        <v>5529</v>
      </c>
      <c r="AD307" s="2" t="s">
        <v>5530</v>
      </c>
      <c r="AE307" s="2" t="s">
        <v>5531</v>
      </c>
      <c r="AF307" s="2" t="s">
        <v>5532</v>
      </c>
      <c r="AG307" s="2" t="s">
        <v>5533</v>
      </c>
      <c r="AH307" s="2" t="s">
        <v>86</v>
      </c>
      <c r="AI307" s="2" t="s">
        <v>5534</v>
      </c>
      <c r="AJ307" s="2" t="s">
        <v>5535</v>
      </c>
      <c r="AK307" s="2" t="s">
        <v>217</v>
      </c>
      <c r="AL307" s="4">
        <v>2017</v>
      </c>
      <c r="AM307" s="4">
        <v>89</v>
      </c>
      <c r="AN307" s="4">
        <v>12</v>
      </c>
      <c r="AO307" s="2" t="s">
        <v>86</v>
      </c>
      <c r="AP307" s="2" t="s">
        <v>86</v>
      </c>
      <c r="AQ307" s="2" t="s">
        <v>86</v>
      </c>
      <c r="AR307" s="2" t="s">
        <v>86</v>
      </c>
      <c r="AS307" s="4">
        <v>1841</v>
      </c>
      <c r="AT307" s="4">
        <v>1848</v>
      </c>
      <c r="AU307" s="2" t="s">
        <v>86</v>
      </c>
      <c r="AV307" s="2" t="s">
        <v>86</v>
      </c>
      <c r="AW307" s="2" t="s">
        <v>86</v>
      </c>
      <c r="AX307" s="4">
        <v>8</v>
      </c>
      <c r="AY307" s="2" t="s">
        <v>4167</v>
      </c>
      <c r="AZ307" s="2" t="s">
        <v>92</v>
      </c>
      <c r="BA307" s="2" t="s">
        <v>901</v>
      </c>
      <c r="BB307" s="2" t="s">
        <v>5536</v>
      </c>
      <c r="BC307" s="2" t="s">
        <v>86</v>
      </c>
      <c r="BD307" s="2" t="s">
        <v>5537</v>
      </c>
      <c r="BE307" s="2" t="s">
        <v>86</v>
      </c>
      <c r="BF307" s="2" t="s">
        <v>86</v>
      </c>
      <c r="BG307" s="2" t="s">
        <v>95</v>
      </c>
      <c r="BH307" s="2" t="s">
        <v>5538</v>
      </c>
      <c r="BI307" s="2" t="str">
        <f>HYPERLINK("https%3A%2F%2Fwww.webofscience.com%2Fwos%2Fwoscc%2Ffull-record%2FWOS:000418002500012","View Full Record in Web of Science")</f>
        <v>View Full Record in Web of Science</v>
      </c>
    </row>
    <row r="308" spans="1:61" customFormat="1" ht="12.75" x14ac:dyDescent="0.2">
      <c r="A308" s="1">
        <v>305</v>
      </c>
      <c r="B308" s="1" t="s">
        <v>1068</v>
      </c>
      <c r="C308" s="1" t="s">
        <v>5539</v>
      </c>
      <c r="D308" s="2" t="s">
        <v>5540</v>
      </c>
      <c r="E308" s="2" t="s">
        <v>5541</v>
      </c>
      <c r="F308" s="3" t="str">
        <f>HYPERLINK("http://dx.doi.org/10.3390/molecules26134031","http://dx.doi.org/10.3390/molecules26134031")</f>
        <v>http://dx.doi.org/10.3390/molecules26134031</v>
      </c>
      <c r="G308" s="2" t="s">
        <v>61</v>
      </c>
      <c r="H308" s="2" t="s">
        <v>5542</v>
      </c>
      <c r="I308" s="2" t="s">
        <v>5543</v>
      </c>
      <c r="J308" s="2" t="s">
        <v>5544</v>
      </c>
      <c r="K308" s="2" t="s">
        <v>68</v>
      </c>
      <c r="L308" s="2" t="s">
        <v>5545</v>
      </c>
      <c r="M308" s="2" t="s">
        <v>5546</v>
      </c>
      <c r="N308" s="2" t="s">
        <v>5547</v>
      </c>
      <c r="O308" s="2" t="s">
        <v>5548</v>
      </c>
      <c r="P308" s="2" t="s">
        <v>5549</v>
      </c>
      <c r="Q308" s="2" t="s">
        <v>5550</v>
      </c>
      <c r="R308" s="2" t="s">
        <v>5551</v>
      </c>
      <c r="S308" s="2" t="s">
        <v>5552</v>
      </c>
      <c r="T308" s="2" t="s">
        <v>5553</v>
      </c>
      <c r="U308" s="2" t="s">
        <v>5553</v>
      </c>
      <c r="V308" s="2" t="s">
        <v>5554</v>
      </c>
      <c r="W308" s="2" t="s">
        <v>80</v>
      </c>
      <c r="X308" s="4">
        <v>129</v>
      </c>
      <c r="Y308" s="4">
        <v>18</v>
      </c>
      <c r="Z308" s="4">
        <v>18</v>
      </c>
      <c r="AA308" s="4">
        <v>20</v>
      </c>
      <c r="AB308" s="4">
        <v>116</v>
      </c>
      <c r="AC308" s="2" t="s">
        <v>211</v>
      </c>
      <c r="AD308" s="2" t="s">
        <v>212</v>
      </c>
      <c r="AE308" s="2" t="s">
        <v>213</v>
      </c>
      <c r="AF308" s="2" t="s">
        <v>86</v>
      </c>
      <c r="AG308" s="2" t="s">
        <v>5555</v>
      </c>
      <c r="AH308" s="2" t="s">
        <v>86</v>
      </c>
      <c r="AI308" s="2" t="s">
        <v>5544</v>
      </c>
      <c r="AJ308" s="2" t="s">
        <v>5556</v>
      </c>
      <c r="AK308" s="2" t="s">
        <v>1458</v>
      </c>
      <c r="AL308" s="4">
        <v>2021</v>
      </c>
      <c r="AM308" s="4">
        <v>26</v>
      </c>
      <c r="AN308" s="4">
        <v>13</v>
      </c>
      <c r="AO308" s="2" t="s">
        <v>86</v>
      </c>
      <c r="AP308" s="2" t="s">
        <v>86</v>
      </c>
      <c r="AQ308" s="2" t="s">
        <v>86</v>
      </c>
      <c r="AR308" s="2" t="s">
        <v>86</v>
      </c>
      <c r="AS308" s="2" t="s">
        <v>86</v>
      </c>
      <c r="AT308" s="2" t="s">
        <v>86</v>
      </c>
      <c r="AU308" s="4">
        <v>4031</v>
      </c>
      <c r="AV308" s="2" t="s">
        <v>86</v>
      </c>
      <c r="AW308" s="2" t="s">
        <v>86</v>
      </c>
      <c r="AX308" s="4">
        <v>18</v>
      </c>
      <c r="AY308" s="2" t="s">
        <v>4052</v>
      </c>
      <c r="AZ308" s="2" t="s">
        <v>92</v>
      </c>
      <c r="BA308" s="2" t="s">
        <v>4053</v>
      </c>
      <c r="BB308" s="2" t="s">
        <v>5557</v>
      </c>
      <c r="BC308" s="4">
        <v>34279371</v>
      </c>
      <c r="BD308" s="2" t="s">
        <v>723</v>
      </c>
      <c r="BE308" s="2" t="s">
        <v>86</v>
      </c>
      <c r="BF308" s="2" t="s">
        <v>86</v>
      </c>
      <c r="BG308" s="2" t="s">
        <v>95</v>
      </c>
      <c r="BH308" s="2" t="s">
        <v>5558</v>
      </c>
      <c r="BI308" s="2" t="str">
        <f>HYPERLINK("https%3A%2F%2Fwww.webofscience.com%2Fwos%2Fwoscc%2Ffull-record%2FWOS:000671073300001","View Full Record in Web of Science")</f>
        <v>View Full Record in Web of Science</v>
      </c>
    </row>
    <row r="309" spans="1:61" customFormat="1" ht="12.75" x14ac:dyDescent="0.2">
      <c r="A309" s="1">
        <v>306</v>
      </c>
      <c r="B309" s="1" t="s">
        <v>1068</v>
      </c>
      <c r="C309" s="1" t="s">
        <v>5559</v>
      </c>
      <c r="D309" s="2" t="s">
        <v>5560</v>
      </c>
      <c r="E309" s="2" t="s">
        <v>5561</v>
      </c>
      <c r="F309" s="3" t="str">
        <f>HYPERLINK("http://dx.doi.org/10.1016/j.eswa.2022.117996","http://dx.doi.org/10.1016/j.eswa.2022.117996")</f>
        <v>http://dx.doi.org/10.1016/j.eswa.2022.117996</v>
      </c>
      <c r="G309" s="2" t="s">
        <v>200</v>
      </c>
      <c r="H309" s="2" t="s">
        <v>5562</v>
      </c>
      <c r="I309" s="2" t="s">
        <v>5563</v>
      </c>
      <c r="J309" s="2" t="s">
        <v>5564</v>
      </c>
      <c r="K309" s="2" t="s">
        <v>68</v>
      </c>
      <c r="L309" s="2" t="s">
        <v>5565</v>
      </c>
      <c r="M309" s="2" t="s">
        <v>5566</v>
      </c>
      <c r="N309" s="2" t="s">
        <v>5567</v>
      </c>
      <c r="O309" s="2" t="s">
        <v>5568</v>
      </c>
      <c r="P309" s="2" t="s">
        <v>5569</v>
      </c>
      <c r="Q309" s="2" t="s">
        <v>5570</v>
      </c>
      <c r="R309" s="2" t="s">
        <v>5571</v>
      </c>
      <c r="S309" s="2" t="s">
        <v>5572</v>
      </c>
      <c r="T309" s="2" t="s">
        <v>5573</v>
      </c>
      <c r="U309" s="2" t="s">
        <v>5574</v>
      </c>
      <c r="V309" s="2" t="s">
        <v>5575</v>
      </c>
      <c r="W309" s="2" t="s">
        <v>80</v>
      </c>
      <c r="X309" s="4">
        <v>41</v>
      </c>
      <c r="Y309" s="4">
        <v>11</v>
      </c>
      <c r="Z309" s="4">
        <v>11</v>
      </c>
      <c r="AA309" s="4">
        <v>4</v>
      </c>
      <c r="AB309" s="4">
        <v>15</v>
      </c>
      <c r="AC309" s="2" t="s">
        <v>237</v>
      </c>
      <c r="AD309" s="2" t="s">
        <v>115</v>
      </c>
      <c r="AE309" s="2" t="s">
        <v>238</v>
      </c>
      <c r="AF309" s="2" t="s">
        <v>5576</v>
      </c>
      <c r="AG309" s="2" t="s">
        <v>5577</v>
      </c>
      <c r="AH309" s="2" t="s">
        <v>86</v>
      </c>
      <c r="AI309" s="2" t="s">
        <v>5578</v>
      </c>
      <c r="AJ309" s="2" t="s">
        <v>5579</v>
      </c>
      <c r="AK309" s="2" t="s">
        <v>2342</v>
      </c>
      <c r="AL309" s="4">
        <v>2022</v>
      </c>
      <c r="AM309" s="4">
        <v>207</v>
      </c>
      <c r="AN309" s="2" t="s">
        <v>86</v>
      </c>
      <c r="AO309" s="2" t="s">
        <v>86</v>
      </c>
      <c r="AP309" s="2" t="s">
        <v>86</v>
      </c>
      <c r="AQ309" s="2" t="s">
        <v>86</v>
      </c>
      <c r="AR309" s="2" t="s">
        <v>86</v>
      </c>
      <c r="AS309" s="2" t="s">
        <v>86</v>
      </c>
      <c r="AT309" s="2" t="s">
        <v>86</v>
      </c>
      <c r="AU309" s="4">
        <v>117996</v>
      </c>
      <c r="AV309" s="2" t="s">
        <v>86</v>
      </c>
      <c r="AW309" s="2" t="s">
        <v>1982</v>
      </c>
      <c r="AX309" s="4">
        <v>16</v>
      </c>
      <c r="AY309" s="2" t="s">
        <v>5580</v>
      </c>
      <c r="AZ309" s="2" t="s">
        <v>92</v>
      </c>
      <c r="BA309" s="2" t="s">
        <v>5581</v>
      </c>
      <c r="BB309" s="2" t="s">
        <v>5582</v>
      </c>
      <c r="BC309" s="2" t="s">
        <v>86</v>
      </c>
      <c r="BD309" s="2" t="s">
        <v>86</v>
      </c>
      <c r="BE309" s="2" t="s">
        <v>86</v>
      </c>
      <c r="BF309" s="2" t="s">
        <v>86</v>
      </c>
      <c r="BG309" s="2" t="s">
        <v>95</v>
      </c>
      <c r="BH309" s="2" t="s">
        <v>5583</v>
      </c>
      <c r="BI309" s="2" t="str">
        <f>HYPERLINK("https%3A%2F%2Fwww.webofscience.com%2Fwos%2Fwoscc%2Ffull-record%2FWOS:000830861900003","View Full Record in Web of Science")</f>
        <v>View Full Record in Web of Science</v>
      </c>
    </row>
    <row r="310" spans="1:61" customFormat="1" ht="12.75" x14ac:dyDescent="0.2">
      <c r="A310" s="1">
        <v>307</v>
      </c>
      <c r="B310" s="1" t="s">
        <v>1068</v>
      </c>
      <c r="C310" s="1" t="s">
        <v>5584</v>
      </c>
      <c r="D310" s="2" t="s">
        <v>5585</v>
      </c>
      <c r="E310" s="2" t="s">
        <v>86</v>
      </c>
      <c r="F310" s="2" t="s">
        <v>86</v>
      </c>
      <c r="G310" s="2" t="s">
        <v>200</v>
      </c>
      <c r="H310" s="2" t="s">
        <v>5586</v>
      </c>
      <c r="I310" s="2" t="s">
        <v>5587</v>
      </c>
      <c r="J310" s="2" t="s">
        <v>5588</v>
      </c>
      <c r="K310" s="2" t="s">
        <v>68</v>
      </c>
      <c r="L310" s="2" t="s">
        <v>5589</v>
      </c>
      <c r="M310" s="2" t="s">
        <v>5590</v>
      </c>
      <c r="N310" s="2" t="s">
        <v>5591</v>
      </c>
      <c r="O310" s="2" t="s">
        <v>5592</v>
      </c>
      <c r="P310" s="2" t="s">
        <v>5593</v>
      </c>
      <c r="Q310" s="2" t="s">
        <v>5594</v>
      </c>
      <c r="R310" s="2" t="s">
        <v>86</v>
      </c>
      <c r="S310" s="2" t="s">
        <v>86</v>
      </c>
      <c r="T310" s="2" t="s">
        <v>86</v>
      </c>
      <c r="U310" s="2" t="s">
        <v>86</v>
      </c>
      <c r="V310" s="2" t="s">
        <v>86</v>
      </c>
      <c r="W310" s="2" t="s">
        <v>80</v>
      </c>
      <c r="X310" s="4">
        <v>44</v>
      </c>
      <c r="Y310" s="4">
        <v>0</v>
      </c>
      <c r="Z310" s="4">
        <v>0</v>
      </c>
      <c r="AA310" s="4">
        <v>1</v>
      </c>
      <c r="AB310" s="4">
        <v>7</v>
      </c>
      <c r="AC310" s="2" t="s">
        <v>5595</v>
      </c>
      <c r="AD310" s="2" t="s">
        <v>5596</v>
      </c>
      <c r="AE310" s="2" t="s">
        <v>5597</v>
      </c>
      <c r="AF310" s="2" t="s">
        <v>5598</v>
      </c>
      <c r="AG310" s="2" t="s">
        <v>5599</v>
      </c>
      <c r="AH310" s="2" t="s">
        <v>86</v>
      </c>
      <c r="AI310" s="2" t="s">
        <v>5600</v>
      </c>
      <c r="AJ310" s="2" t="s">
        <v>5601</v>
      </c>
      <c r="AK310" s="2" t="s">
        <v>4261</v>
      </c>
      <c r="AL310" s="4">
        <v>2021</v>
      </c>
      <c r="AM310" s="4">
        <v>18</v>
      </c>
      <c r="AN310" s="4">
        <v>1</v>
      </c>
      <c r="AO310" s="2" t="s">
        <v>86</v>
      </c>
      <c r="AP310" s="2" t="s">
        <v>86</v>
      </c>
      <c r="AQ310" s="2" t="s">
        <v>86</v>
      </c>
      <c r="AR310" s="2" t="s">
        <v>86</v>
      </c>
      <c r="AS310" s="4">
        <v>1029</v>
      </c>
      <c r="AT310" s="4">
        <v>1040</v>
      </c>
      <c r="AU310" s="2" t="s">
        <v>86</v>
      </c>
      <c r="AV310" s="2" t="s">
        <v>86</v>
      </c>
      <c r="AW310" s="2" t="s">
        <v>86</v>
      </c>
      <c r="AX310" s="4">
        <v>12</v>
      </c>
      <c r="AY310" s="2" t="s">
        <v>3178</v>
      </c>
      <c r="AZ310" s="2" t="s">
        <v>171</v>
      </c>
      <c r="BA310" s="2" t="s">
        <v>3179</v>
      </c>
      <c r="BB310" s="2" t="s">
        <v>5602</v>
      </c>
      <c r="BC310" s="2" t="s">
        <v>86</v>
      </c>
      <c r="BD310" s="2" t="s">
        <v>86</v>
      </c>
      <c r="BE310" s="2" t="s">
        <v>86</v>
      </c>
      <c r="BF310" s="2" t="s">
        <v>86</v>
      </c>
      <c r="BG310" s="2" t="s">
        <v>95</v>
      </c>
      <c r="BH310" s="2" t="s">
        <v>5603</v>
      </c>
      <c r="BI310" s="2" t="str">
        <f>HYPERLINK("https%3A%2F%2Fwww.webofscience.com%2Fwos%2Fwoscc%2Ffull-record%2FWOS:000654843800104","View Full Record in Web of Science")</f>
        <v>View Full Record in Web of Science</v>
      </c>
    </row>
    <row r="311" spans="1:61" customFormat="1" ht="12.75" x14ac:dyDescent="0.2">
      <c r="A311" s="1">
        <v>308</v>
      </c>
      <c r="B311" s="1" t="s">
        <v>1068</v>
      </c>
      <c r="C311" s="1" t="s">
        <v>5604</v>
      </c>
      <c r="D311" s="2" t="s">
        <v>5605</v>
      </c>
      <c r="E311" s="2" t="s">
        <v>5606</v>
      </c>
      <c r="F311" s="3" t="str">
        <f>HYPERLINK("http://dx.doi.org/10.1186/s40537-022-00672-6","http://dx.doi.org/10.1186/s40537-022-00672-6")</f>
        <v>http://dx.doi.org/10.1186/s40537-022-00672-6</v>
      </c>
      <c r="G311" s="2" t="s">
        <v>200</v>
      </c>
      <c r="H311" s="2" t="s">
        <v>5607</v>
      </c>
      <c r="I311" s="2" t="s">
        <v>5608</v>
      </c>
      <c r="J311" s="2" t="s">
        <v>5609</v>
      </c>
      <c r="K311" s="2" t="s">
        <v>68</v>
      </c>
      <c r="L311" s="2" t="s">
        <v>5610</v>
      </c>
      <c r="M311" s="2" t="s">
        <v>86</v>
      </c>
      <c r="N311" s="2" t="s">
        <v>5611</v>
      </c>
      <c r="O311" s="2" t="s">
        <v>5612</v>
      </c>
      <c r="P311" s="2" t="s">
        <v>5613</v>
      </c>
      <c r="Q311" s="2" t="s">
        <v>5614</v>
      </c>
      <c r="R311" s="2" t="s">
        <v>86</v>
      </c>
      <c r="S311" s="2" t="s">
        <v>86</v>
      </c>
      <c r="T311" s="2" t="s">
        <v>86</v>
      </c>
      <c r="U311" s="2" t="s">
        <v>86</v>
      </c>
      <c r="V311" s="2" t="s">
        <v>86</v>
      </c>
      <c r="W311" s="2" t="s">
        <v>80</v>
      </c>
      <c r="X311" s="4">
        <v>35</v>
      </c>
      <c r="Y311" s="4">
        <v>0</v>
      </c>
      <c r="Z311" s="4">
        <v>0</v>
      </c>
      <c r="AA311" s="4">
        <v>2</v>
      </c>
      <c r="AB311" s="4">
        <v>4</v>
      </c>
      <c r="AC311" s="2" t="s">
        <v>5615</v>
      </c>
      <c r="AD311" s="2" t="s">
        <v>605</v>
      </c>
      <c r="AE311" s="2" t="s">
        <v>5616</v>
      </c>
      <c r="AF311" s="2" t="s">
        <v>86</v>
      </c>
      <c r="AG311" s="2" t="s">
        <v>5617</v>
      </c>
      <c r="AH311" s="2" t="s">
        <v>86</v>
      </c>
      <c r="AI311" s="2" t="s">
        <v>5618</v>
      </c>
      <c r="AJ311" s="2" t="s">
        <v>5619</v>
      </c>
      <c r="AK311" s="2" t="s">
        <v>5620</v>
      </c>
      <c r="AL311" s="4">
        <v>2022</v>
      </c>
      <c r="AM311" s="4">
        <v>9</v>
      </c>
      <c r="AN311" s="4">
        <v>1</v>
      </c>
      <c r="AO311" s="2" t="s">
        <v>86</v>
      </c>
      <c r="AP311" s="2" t="s">
        <v>86</v>
      </c>
      <c r="AQ311" s="2" t="s">
        <v>86</v>
      </c>
      <c r="AR311" s="2" t="s">
        <v>86</v>
      </c>
      <c r="AS311" s="2" t="s">
        <v>86</v>
      </c>
      <c r="AT311" s="2" t="s">
        <v>86</v>
      </c>
      <c r="AU311" s="4">
        <v>118</v>
      </c>
      <c r="AV311" s="2" t="s">
        <v>86</v>
      </c>
      <c r="AW311" s="2" t="s">
        <v>86</v>
      </c>
      <c r="AX311" s="4">
        <v>24</v>
      </c>
      <c r="AY311" s="2" t="s">
        <v>5621</v>
      </c>
      <c r="AZ311" s="2" t="s">
        <v>92</v>
      </c>
      <c r="BA311" s="2" t="s">
        <v>5622</v>
      </c>
      <c r="BB311" s="2" t="s">
        <v>5623</v>
      </c>
      <c r="BC311" s="2" t="s">
        <v>86</v>
      </c>
      <c r="BD311" s="2" t="s">
        <v>321</v>
      </c>
      <c r="BE311" s="2" t="s">
        <v>86</v>
      </c>
      <c r="BF311" s="2" t="s">
        <v>86</v>
      </c>
      <c r="BG311" s="2" t="s">
        <v>95</v>
      </c>
      <c r="BH311" s="2" t="s">
        <v>5624</v>
      </c>
      <c r="BI311" s="2" t="str">
        <f>HYPERLINK("https%3A%2F%2Fwww.webofscience.com%2Fwos%2Fwoscc%2Ffull-record%2FWOS:000899189800001","View Full Record in Web of Science")</f>
        <v>View Full Record in Web of Science</v>
      </c>
    </row>
    <row r="312" spans="1:61" customFormat="1" ht="12.75" x14ac:dyDescent="0.2">
      <c r="A312" s="1">
        <v>309</v>
      </c>
      <c r="B312" s="1" t="s">
        <v>1068</v>
      </c>
      <c r="C312" s="1" t="s">
        <v>5625</v>
      </c>
      <c r="D312" s="2" t="s">
        <v>5626</v>
      </c>
      <c r="E312" s="2" t="s">
        <v>5627</v>
      </c>
      <c r="F312" s="3" t="str">
        <f>HYPERLINK("http://dx.doi.org/10.1080/19443994.2013.831780","http://dx.doi.org/10.1080/19443994.2013.831780")</f>
        <v>http://dx.doi.org/10.1080/19443994.2013.831780</v>
      </c>
      <c r="G312" s="2" t="s">
        <v>200</v>
      </c>
      <c r="H312" s="2" t="s">
        <v>5628</v>
      </c>
      <c r="I312" s="2" t="s">
        <v>5629</v>
      </c>
      <c r="J312" s="2" t="s">
        <v>3905</v>
      </c>
      <c r="K312" s="2" t="s">
        <v>68</v>
      </c>
      <c r="L312" s="2" t="s">
        <v>5630</v>
      </c>
      <c r="M312" s="2" t="s">
        <v>5631</v>
      </c>
      <c r="N312" s="2" t="s">
        <v>5632</v>
      </c>
      <c r="O312" s="2" t="s">
        <v>5633</v>
      </c>
      <c r="P312" s="2" t="s">
        <v>5634</v>
      </c>
      <c r="Q312" s="2" t="s">
        <v>5635</v>
      </c>
      <c r="R312" s="2" t="s">
        <v>5636</v>
      </c>
      <c r="S312" s="2" t="s">
        <v>5637</v>
      </c>
      <c r="T312" s="2" t="s">
        <v>5638</v>
      </c>
      <c r="U312" s="2" t="s">
        <v>5639</v>
      </c>
      <c r="V312" s="2" t="s">
        <v>5640</v>
      </c>
      <c r="W312" s="2" t="s">
        <v>80</v>
      </c>
      <c r="X312" s="4">
        <v>15</v>
      </c>
      <c r="Y312" s="4">
        <v>5</v>
      </c>
      <c r="Z312" s="4">
        <v>5</v>
      </c>
      <c r="AA312" s="4">
        <v>0</v>
      </c>
      <c r="AB312" s="4">
        <v>36</v>
      </c>
      <c r="AC312" s="2" t="s">
        <v>3914</v>
      </c>
      <c r="AD312" s="2" t="s">
        <v>3915</v>
      </c>
      <c r="AE312" s="2" t="s">
        <v>3916</v>
      </c>
      <c r="AF312" s="2" t="s">
        <v>3917</v>
      </c>
      <c r="AG312" s="2" t="s">
        <v>3918</v>
      </c>
      <c r="AH312" s="2" t="s">
        <v>86</v>
      </c>
      <c r="AI312" s="2" t="s">
        <v>3919</v>
      </c>
      <c r="AJ312" s="2" t="s">
        <v>3920</v>
      </c>
      <c r="AK312" s="2" t="s">
        <v>5641</v>
      </c>
      <c r="AL312" s="4">
        <v>2014</v>
      </c>
      <c r="AM312" s="4">
        <v>52</v>
      </c>
      <c r="AN312" s="2" t="s">
        <v>5642</v>
      </c>
      <c r="AO312" s="2" t="s">
        <v>86</v>
      </c>
      <c r="AP312" s="2" t="s">
        <v>86</v>
      </c>
      <c r="AQ312" s="2" t="s">
        <v>86</v>
      </c>
      <c r="AR312" s="2" t="s">
        <v>86</v>
      </c>
      <c r="AS312" s="4">
        <v>7101</v>
      </c>
      <c r="AT312" s="4">
        <v>7107</v>
      </c>
      <c r="AU312" s="2" t="s">
        <v>86</v>
      </c>
      <c r="AV312" s="2" t="s">
        <v>86</v>
      </c>
      <c r="AW312" s="2" t="s">
        <v>86</v>
      </c>
      <c r="AX312" s="4">
        <v>7</v>
      </c>
      <c r="AY312" s="2" t="s">
        <v>3921</v>
      </c>
      <c r="AZ312" s="2" t="s">
        <v>92</v>
      </c>
      <c r="BA312" s="2" t="s">
        <v>2578</v>
      </c>
      <c r="BB312" s="2" t="s">
        <v>5643</v>
      </c>
      <c r="BC312" s="2" t="s">
        <v>86</v>
      </c>
      <c r="BD312" s="2" t="s">
        <v>86</v>
      </c>
      <c r="BE312" s="2" t="s">
        <v>86</v>
      </c>
      <c r="BF312" s="2" t="s">
        <v>86</v>
      </c>
      <c r="BG312" s="2" t="s">
        <v>95</v>
      </c>
      <c r="BH312" s="2" t="s">
        <v>5644</v>
      </c>
      <c r="BI312" s="2" t="str">
        <f>HYPERLINK("https%3A%2F%2Fwww.webofscience.com%2Fwos%2Fwoscc%2Ffull-record%2FWOS:000345001300026","View Full Record in Web of Science")</f>
        <v>View Full Record in Web of Science</v>
      </c>
    </row>
    <row r="313" spans="1:61" customFormat="1" ht="12.75" x14ac:dyDescent="0.2">
      <c r="A313" s="1">
        <v>310</v>
      </c>
      <c r="B313" s="1" t="s">
        <v>1068</v>
      </c>
      <c r="C313" s="1" t="s">
        <v>5645</v>
      </c>
      <c r="D313" s="2" t="s">
        <v>5646</v>
      </c>
      <c r="E313" s="2" t="s">
        <v>5647</v>
      </c>
      <c r="F313" s="3" t="str">
        <f>HYPERLINK("http://dx.doi.org/10.1016/j.jmatprotec.2012.05.017","http://dx.doi.org/10.1016/j.jmatprotec.2012.05.017")</f>
        <v>http://dx.doi.org/10.1016/j.jmatprotec.2012.05.017</v>
      </c>
      <c r="G313" s="2" t="s">
        <v>200</v>
      </c>
      <c r="H313" s="2" t="s">
        <v>5648</v>
      </c>
      <c r="I313" s="2" t="s">
        <v>5649</v>
      </c>
      <c r="J313" s="2" t="s">
        <v>5650</v>
      </c>
      <c r="K313" s="2" t="s">
        <v>68</v>
      </c>
      <c r="L313" s="2" t="s">
        <v>5651</v>
      </c>
      <c r="M313" s="2" t="s">
        <v>5652</v>
      </c>
      <c r="N313" s="2" t="s">
        <v>5653</v>
      </c>
      <c r="O313" s="2" t="s">
        <v>5654</v>
      </c>
      <c r="P313" s="2" t="s">
        <v>5655</v>
      </c>
      <c r="Q313" s="2" t="s">
        <v>5656</v>
      </c>
      <c r="R313" s="2" t="s">
        <v>86</v>
      </c>
      <c r="S313" s="2" t="s">
        <v>5657</v>
      </c>
      <c r="T313" s="2" t="s">
        <v>5658</v>
      </c>
      <c r="U313" s="2" t="s">
        <v>5659</v>
      </c>
      <c r="V313" s="2" t="s">
        <v>5660</v>
      </c>
      <c r="W313" s="2" t="s">
        <v>80</v>
      </c>
      <c r="X313" s="4">
        <v>19</v>
      </c>
      <c r="Y313" s="4">
        <v>90</v>
      </c>
      <c r="Z313" s="4">
        <v>100</v>
      </c>
      <c r="AA313" s="4">
        <v>0</v>
      </c>
      <c r="AB313" s="4">
        <v>70</v>
      </c>
      <c r="AC313" s="2" t="s">
        <v>5189</v>
      </c>
      <c r="AD313" s="2" t="s">
        <v>783</v>
      </c>
      <c r="AE313" s="2" t="s">
        <v>5190</v>
      </c>
      <c r="AF313" s="2" t="s">
        <v>5661</v>
      </c>
      <c r="AG313" s="2" t="s">
        <v>86</v>
      </c>
      <c r="AH313" s="2" t="s">
        <v>86</v>
      </c>
      <c r="AI313" s="2" t="s">
        <v>5662</v>
      </c>
      <c r="AJ313" s="2" t="s">
        <v>5663</v>
      </c>
      <c r="AK313" s="2" t="s">
        <v>873</v>
      </c>
      <c r="AL313" s="4">
        <v>2012</v>
      </c>
      <c r="AM313" s="4">
        <v>212</v>
      </c>
      <c r="AN313" s="4">
        <v>10</v>
      </c>
      <c r="AO313" s="2" t="s">
        <v>86</v>
      </c>
      <c r="AP313" s="2" t="s">
        <v>86</v>
      </c>
      <c r="AQ313" s="2" t="s">
        <v>86</v>
      </c>
      <c r="AR313" s="2" t="s">
        <v>86</v>
      </c>
      <c r="AS313" s="4">
        <v>2117</v>
      </c>
      <c r="AT313" s="4">
        <v>2127</v>
      </c>
      <c r="AU313" s="2" t="s">
        <v>86</v>
      </c>
      <c r="AV313" s="2" t="s">
        <v>86</v>
      </c>
      <c r="AW313" s="2" t="s">
        <v>86</v>
      </c>
      <c r="AX313" s="4">
        <v>11</v>
      </c>
      <c r="AY313" s="2" t="s">
        <v>5664</v>
      </c>
      <c r="AZ313" s="2" t="s">
        <v>92</v>
      </c>
      <c r="BA313" s="2" t="s">
        <v>5665</v>
      </c>
      <c r="BB313" s="2" t="s">
        <v>5666</v>
      </c>
      <c r="BC313" s="2" t="s">
        <v>86</v>
      </c>
      <c r="BD313" s="2" t="s">
        <v>877</v>
      </c>
      <c r="BE313" s="2" t="s">
        <v>86</v>
      </c>
      <c r="BF313" s="2" t="s">
        <v>86</v>
      </c>
      <c r="BG313" s="2" t="s">
        <v>95</v>
      </c>
      <c r="BH313" s="2" t="s">
        <v>5667</v>
      </c>
      <c r="BI313" s="2" t="str">
        <f>HYPERLINK("https%3A%2F%2Fwww.webofscience.com%2Fwos%2Fwoscc%2Ffull-record%2FWOS:000309032500016","View Full Record in Web of Science")</f>
        <v>View Full Record in Web of Science</v>
      </c>
    </row>
    <row r="314" spans="1:61" customFormat="1" ht="12.75" x14ac:dyDescent="0.2">
      <c r="A314" s="1">
        <v>311</v>
      </c>
      <c r="B314" s="1" t="s">
        <v>1068</v>
      </c>
      <c r="C314" s="1" t="s">
        <v>5668</v>
      </c>
      <c r="D314" s="2" t="s">
        <v>5669</v>
      </c>
      <c r="E314" s="2" t="s">
        <v>5670</v>
      </c>
      <c r="F314" s="3" t="str">
        <f>HYPERLINK("http://dx.doi.org/10.1002/pc.26143","http://dx.doi.org/10.1002/pc.26143")</f>
        <v>http://dx.doi.org/10.1002/pc.26143</v>
      </c>
      <c r="G314" s="2" t="s">
        <v>200</v>
      </c>
      <c r="H314" s="2" t="s">
        <v>5671</v>
      </c>
      <c r="I314" s="2" t="s">
        <v>5672</v>
      </c>
      <c r="J314" s="2" t="s">
        <v>4949</v>
      </c>
      <c r="K314" s="2" t="s">
        <v>68</v>
      </c>
      <c r="L314" s="2" t="s">
        <v>5673</v>
      </c>
      <c r="M314" s="2" t="s">
        <v>5674</v>
      </c>
      <c r="N314" s="2" t="s">
        <v>5675</v>
      </c>
      <c r="O314" s="2" t="s">
        <v>5676</v>
      </c>
      <c r="P314" s="2" t="s">
        <v>5677</v>
      </c>
      <c r="Q314" s="2" t="s">
        <v>5678</v>
      </c>
      <c r="R314" s="2" t="s">
        <v>5679</v>
      </c>
      <c r="S314" s="2" t="s">
        <v>5680</v>
      </c>
      <c r="T314" s="2" t="s">
        <v>86</v>
      </c>
      <c r="U314" s="2" t="s">
        <v>86</v>
      </c>
      <c r="V314" s="2" t="s">
        <v>86</v>
      </c>
      <c r="W314" s="2" t="s">
        <v>80</v>
      </c>
      <c r="X314" s="4">
        <v>34</v>
      </c>
      <c r="Y314" s="4">
        <v>11</v>
      </c>
      <c r="Z314" s="4">
        <v>11</v>
      </c>
      <c r="AA314" s="4">
        <v>13</v>
      </c>
      <c r="AB314" s="4">
        <v>61</v>
      </c>
      <c r="AC314" s="2" t="s">
        <v>956</v>
      </c>
      <c r="AD314" s="2" t="s">
        <v>957</v>
      </c>
      <c r="AE314" s="2" t="s">
        <v>958</v>
      </c>
      <c r="AF314" s="2" t="s">
        <v>4960</v>
      </c>
      <c r="AG314" s="2" t="s">
        <v>4961</v>
      </c>
      <c r="AH314" s="2" t="s">
        <v>86</v>
      </c>
      <c r="AI314" s="2" t="s">
        <v>4962</v>
      </c>
      <c r="AJ314" s="2" t="s">
        <v>4963</v>
      </c>
      <c r="AK314" s="2" t="s">
        <v>440</v>
      </c>
      <c r="AL314" s="4">
        <v>2021</v>
      </c>
      <c r="AM314" s="4">
        <v>42</v>
      </c>
      <c r="AN314" s="4">
        <v>9</v>
      </c>
      <c r="AO314" s="2" t="s">
        <v>86</v>
      </c>
      <c r="AP314" s="2" t="s">
        <v>86</v>
      </c>
      <c r="AQ314" s="2" t="s">
        <v>86</v>
      </c>
      <c r="AR314" s="2" t="s">
        <v>86</v>
      </c>
      <c r="AS314" s="4">
        <v>4253</v>
      </c>
      <c r="AT314" s="4">
        <v>4264</v>
      </c>
      <c r="AU314" s="2" t="s">
        <v>86</v>
      </c>
      <c r="AV314" s="2" t="s">
        <v>86</v>
      </c>
      <c r="AW314" s="2" t="s">
        <v>2290</v>
      </c>
      <c r="AX314" s="4">
        <v>12</v>
      </c>
      <c r="AY314" s="2" t="s">
        <v>4964</v>
      </c>
      <c r="AZ314" s="2" t="s">
        <v>92</v>
      </c>
      <c r="BA314" s="2" t="s">
        <v>4304</v>
      </c>
      <c r="BB314" s="2" t="s">
        <v>5681</v>
      </c>
      <c r="BC314" s="2" t="s">
        <v>86</v>
      </c>
      <c r="BD314" s="2" t="s">
        <v>86</v>
      </c>
      <c r="BE314" s="2" t="s">
        <v>86</v>
      </c>
      <c r="BF314" s="2" t="s">
        <v>86</v>
      </c>
      <c r="BG314" s="2" t="s">
        <v>95</v>
      </c>
      <c r="BH314" s="2" t="s">
        <v>5682</v>
      </c>
      <c r="BI314" s="2" t="str">
        <f>HYPERLINK("https%3A%2F%2Fwww.webofscience.com%2Fwos%2Fwoscc%2Ffull-record%2FWOS:000654632300001","View Full Record in Web of Science")</f>
        <v>View Full Record in Web of Science</v>
      </c>
    </row>
    <row r="315" spans="1:61" customFormat="1" ht="12.75" x14ac:dyDescent="0.2">
      <c r="A315" s="1">
        <v>312</v>
      </c>
      <c r="B315" s="1" t="s">
        <v>1068</v>
      </c>
      <c r="C315" s="1" t="s">
        <v>5683</v>
      </c>
      <c r="D315" s="2" t="s">
        <v>5684</v>
      </c>
      <c r="E315" s="2" t="s">
        <v>5685</v>
      </c>
      <c r="F315" s="3" t="str">
        <f>HYPERLINK("http://dx.doi.org/10.1007/s00254-007-1142-7","http://dx.doi.org/10.1007/s00254-007-1142-7")</f>
        <v>http://dx.doi.org/10.1007/s00254-007-1142-7</v>
      </c>
      <c r="G315" s="2" t="s">
        <v>200</v>
      </c>
      <c r="H315" s="2" t="s">
        <v>5686</v>
      </c>
      <c r="I315" s="2" t="s">
        <v>5687</v>
      </c>
      <c r="J315" s="2" t="s">
        <v>5688</v>
      </c>
      <c r="K315" s="2" t="s">
        <v>68</v>
      </c>
      <c r="L315" s="2" t="s">
        <v>5689</v>
      </c>
      <c r="M315" s="2" t="s">
        <v>5690</v>
      </c>
      <c r="N315" s="2" t="s">
        <v>5691</v>
      </c>
      <c r="O315" s="2" t="s">
        <v>5692</v>
      </c>
      <c r="P315" s="2" t="s">
        <v>5693</v>
      </c>
      <c r="Q315" s="2" t="s">
        <v>5694</v>
      </c>
      <c r="R315" s="2" t="s">
        <v>5695</v>
      </c>
      <c r="S315" s="2" t="s">
        <v>86</v>
      </c>
      <c r="T315" s="2" t="s">
        <v>86</v>
      </c>
      <c r="U315" s="2" t="s">
        <v>86</v>
      </c>
      <c r="V315" s="2" t="s">
        <v>86</v>
      </c>
      <c r="W315" s="2" t="s">
        <v>80</v>
      </c>
      <c r="X315" s="4">
        <v>28</v>
      </c>
      <c r="Y315" s="4">
        <v>32</v>
      </c>
      <c r="Z315" s="4">
        <v>32</v>
      </c>
      <c r="AA315" s="4">
        <v>0</v>
      </c>
      <c r="AB315" s="4">
        <v>8</v>
      </c>
      <c r="AC315" s="2" t="s">
        <v>139</v>
      </c>
      <c r="AD315" s="2" t="s">
        <v>1355</v>
      </c>
      <c r="AE315" s="2" t="s">
        <v>5696</v>
      </c>
      <c r="AF315" s="2" t="s">
        <v>5697</v>
      </c>
      <c r="AG315" s="2" t="s">
        <v>86</v>
      </c>
      <c r="AH315" s="2" t="s">
        <v>86</v>
      </c>
      <c r="AI315" s="2" t="s">
        <v>5698</v>
      </c>
      <c r="AJ315" s="2" t="s">
        <v>5699</v>
      </c>
      <c r="AK315" s="2" t="s">
        <v>146</v>
      </c>
      <c r="AL315" s="4">
        <v>2008</v>
      </c>
      <c r="AM315" s="4">
        <v>53</v>
      </c>
      <c r="AN315" s="4">
        <v>7</v>
      </c>
      <c r="AO315" s="2" t="s">
        <v>86</v>
      </c>
      <c r="AP315" s="2" t="s">
        <v>86</v>
      </c>
      <c r="AQ315" s="2" t="s">
        <v>86</v>
      </c>
      <c r="AR315" s="2" t="s">
        <v>86</v>
      </c>
      <c r="AS315" s="4">
        <v>1585</v>
      </c>
      <c r="AT315" s="4">
        <v>1595</v>
      </c>
      <c r="AU315" s="2" t="s">
        <v>86</v>
      </c>
      <c r="AV315" s="2" t="s">
        <v>86</v>
      </c>
      <c r="AW315" s="2" t="s">
        <v>86</v>
      </c>
      <c r="AX315" s="4">
        <v>11</v>
      </c>
      <c r="AY315" s="2" t="s">
        <v>4217</v>
      </c>
      <c r="AZ315" s="2" t="s">
        <v>92</v>
      </c>
      <c r="BA315" s="2" t="s">
        <v>4218</v>
      </c>
      <c r="BB315" s="2" t="s">
        <v>5700</v>
      </c>
      <c r="BC315" s="2" t="s">
        <v>86</v>
      </c>
      <c r="BD315" s="2" t="s">
        <v>86</v>
      </c>
      <c r="BE315" s="2" t="s">
        <v>86</v>
      </c>
      <c r="BF315" s="2" t="s">
        <v>86</v>
      </c>
      <c r="BG315" s="2" t="s">
        <v>95</v>
      </c>
      <c r="BH315" s="2" t="s">
        <v>5701</v>
      </c>
      <c r="BI315" s="2" t="str">
        <f>HYPERLINK("https%3A%2F%2Fwww.webofscience.com%2Fwos%2Fwoscc%2Ffull-record%2FWOS:000252276100021","View Full Record in Web of Science")</f>
        <v>View Full Record in Web of Science</v>
      </c>
    </row>
    <row r="316" spans="1:61" customFormat="1" ht="12.75" x14ac:dyDescent="0.2">
      <c r="A316" s="1">
        <v>313</v>
      </c>
      <c r="B316" s="1" t="s">
        <v>1068</v>
      </c>
      <c r="C316" s="1" t="s">
        <v>5702</v>
      </c>
      <c r="D316" s="2" t="s">
        <v>5703</v>
      </c>
      <c r="E316" s="2" t="s">
        <v>5704</v>
      </c>
      <c r="F316" s="3" t="str">
        <f>HYPERLINK("http://dx.doi.org/10.1556/IMAS.4.2012.3.5","http://dx.doi.org/10.1556/IMAS.4.2012.3.5")</f>
        <v>http://dx.doi.org/10.1556/IMAS.4.2012.3.5</v>
      </c>
      <c r="G316" s="2" t="s">
        <v>200</v>
      </c>
      <c r="H316" s="2" t="s">
        <v>5705</v>
      </c>
      <c r="I316" s="2" t="s">
        <v>5706</v>
      </c>
      <c r="J316" s="2" t="s">
        <v>5707</v>
      </c>
      <c r="K316" s="2" t="s">
        <v>68</v>
      </c>
      <c r="L316" s="2" t="s">
        <v>5708</v>
      </c>
      <c r="M316" s="2" t="s">
        <v>86</v>
      </c>
      <c r="N316" s="2" t="s">
        <v>5709</v>
      </c>
      <c r="O316" s="2" t="s">
        <v>309</v>
      </c>
      <c r="P316" s="2" t="s">
        <v>5710</v>
      </c>
      <c r="Q316" s="2" t="s">
        <v>5711</v>
      </c>
      <c r="R316" s="2" t="s">
        <v>86</v>
      </c>
      <c r="S316" s="2" t="s">
        <v>86</v>
      </c>
      <c r="T316" s="2" t="s">
        <v>86</v>
      </c>
      <c r="U316" s="2" t="s">
        <v>86</v>
      </c>
      <c r="V316" s="2" t="s">
        <v>86</v>
      </c>
      <c r="W316" s="2" t="s">
        <v>80</v>
      </c>
      <c r="X316" s="4">
        <v>12</v>
      </c>
      <c r="Y316" s="4">
        <v>0</v>
      </c>
      <c r="Z316" s="4">
        <v>0</v>
      </c>
      <c r="AA316" s="4">
        <v>0</v>
      </c>
      <c r="AB316" s="4">
        <v>0</v>
      </c>
      <c r="AC316" s="2" t="s">
        <v>5712</v>
      </c>
      <c r="AD316" s="2" t="s">
        <v>2768</v>
      </c>
      <c r="AE316" s="2" t="s">
        <v>5713</v>
      </c>
      <c r="AF316" s="2" t="s">
        <v>5714</v>
      </c>
      <c r="AG316" s="2" t="s">
        <v>5715</v>
      </c>
      <c r="AH316" s="2" t="s">
        <v>86</v>
      </c>
      <c r="AI316" s="2" t="s">
        <v>5716</v>
      </c>
      <c r="AJ316" s="2" t="s">
        <v>5717</v>
      </c>
      <c r="AK316" s="2" t="s">
        <v>440</v>
      </c>
      <c r="AL316" s="4">
        <v>2012</v>
      </c>
      <c r="AM316" s="4">
        <v>4</v>
      </c>
      <c r="AN316" s="4">
        <v>3</v>
      </c>
      <c r="AO316" s="2" t="s">
        <v>86</v>
      </c>
      <c r="AP316" s="2" t="s">
        <v>86</v>
      </c>
      <c r="AQ316" s="2" t="s">
        <v>86</v>
      </c>
      <c r="AR316" s="2" t="s">
        <v>86</v>
      </c>
      <c r="AS316" s="4">
        <v>162</v>
      </c>
      <c r="AT316" s="4">
        <v>164</v>
      </c>
      <c r="AU316" s="2" t="s">
        <v>86</v>
      </c>
      <c r="AV316" s="2" t="s">
        <v>86</v>
      </c>
      <c r="AW316" s="2" t="s">
        <v>86</v>
      </c>
      <c r="AX316" s="4">
        <v>3</v>
      </c>
      <c r="AY316" s="2" t="s">
        <v>4870</v>
      </c>
      <c r="AZ316" s="2" t="s">
        <v>171</v>
      </c>
      <c r="BA316" s="2" t="s">
        <v>4871</v>
      </c>
      <c r="BB316" s="2" t="s">
        <v>5718</v>
      </c>
      <c r="BC316" s="2" t="s">
        <v>86</v>
      </c>
      <c r="BD316" s="2" t="s">
        <v>321</v>
      </c>
      <c r="BE316" s="2" t="s">
        <v>86</v>
      </c>
      <c r="BF316" s="2" t="s">
        <v>86</v>
      </c>
      <c r="BG316" s="2" t="s">
        <v>95</v>
      </c>
      <c r="BH316" s="2" t="s">
        <v>5719</v>
      </c>
      <c r="BI316" s="2" t="str">
        <f>HYPERLINK("https%3A%2F%2Fwww.webofscience.com%2Fwos%2Fwoscc%2Ffull-record%2FWOS:000215292700005","View Full Record in Web of Science")</f>
        <v>View Full Record in Web of Science</v>
      </c>
    </row>
    <row r="317" spans="1:61" customFormat="1" ht="12.75" x14ac:dyDescent="0.2">
      <c r="A317" s="1">
        <v>314</v>
      </c>
      <c r="B317" s="1" t="s">
        <v>1068</v>
      </c>
      <c r="C317" s="1" t="s">
        <v>5720</v>
      </c>
      <c r="D317" s="2" t="s">
        <v>5721</v>
      </c>
      <c r="E317" s="2" t="s">
        <v>5722</v>
      </c>
      <c r="F317" s="3" t="str">
        <f>HYPERLINK("http://dx.doi.org/10.1016/j.nima.2019.163251","http://dx.doi.org/10.1016/j.nima.2019.163251")</f>
        <v>http://dx.doi.org/10.1016/j.nima.2019.163251</v>
      </c>
      <c r="G317" s="2" t="s">
        <v>200</v>
      </c>
      <c r="H317" s="2" t="s">
        <v>4545</v>
      </c>
      <c r="I317" s="2" t="s">
        <v>4546</v>
      </c>
      <c r="J317" s="2" t="s">
        <v>4524</v>
      </c>
      <c r="K317" s="2" t="s">
        <v>68</v>
      </c>
      <c r="L317" s="2" t="s">
        <v>5723</v>
      </c>
      <c r="M317" s="2" t="s">
        <v>5724</v>
      </c>
      <c r="N317" s="2" t="s">
        <v>4549</v>
      </c>
      <c r="O317" s="2" t="s">
        <v>4550</v>
      </c>
      <c r="P317" s="2" t="s">
        <v>4551</v>
      </c>
      <c r="Q317" s="2" t="s">
        <v>4552</v>
      </c>
      <c r="R317" s="2" t="s">
        <v>4553</v>
      </c>
      <c r="S317" s="2" t="s">
        <v>4554</v>
      </c>
      <c r="T317" s="2" t="s">
        <v>86</v>
      </c>
      <c r="U317" s="2" t="s">
        <v>86</v>
      </c>
      <c r="V317" s="2" t="s">
        <v>86</v>
      </c>
      <c r="W317" s="2" t="s">
        <v>80</v>
      </c>
      <c r="X317" s="4">
        <v>27</v>
      </c>
      <c r="Y317" s="4">
        <v>3</v>
      </c>
      <c r="Z317" s="4">
        <v>3</v>
      </c>
      <c r="AA317" s="4">
        <v>1</v>
      </c>
      <c r="AB317" s="4">
        <v>5</v>
      </c>
      <c r="AC317" s="2" t="s">
        <v>585</v>
      </c>
      <c r="AD317" s="2" t="s">
        <v>586</v>
      </c>
      <c r="AE317" s="2" t="s">
        <v>587</v>
      </c>
      <c r="AF317" s="2" t="s">
        <v>4533</v>
      </c>
      <c r="AG317" s="2" t="s">
        <v>4534</v>
      </c>
      <c r="AH317" s="2" t="s">
        <v>86</v>
      </c>
      <c r="AI317" s="2" t="s">
        <v>4535</v>
      </c>
      <c r="AJ317" s="2" t="s">
        <v>4536</v>
      </c>
      <c r="AK317" s="2" t="s">
        <v>5725</v>
      </c>
      <c r="AL317" s="4">
        <v>2020</v>
      </c>
      <c r="AM317" s="4">
        <v>953</v>
      </c>
      <c r="AN317" s="2" t="s">
        <v>86</v>
      </c>
      <c r="AO317" s="2" t="s">
        <v>86</v>
      </c>
      <c r="AP317" s="2" t="s">
        <v>86</v>
      </c>
      <c r="AQ317" s="2" t="s">
        <v>86</v>
      </c>
      <c r="AR317" s="2" t="s">
        <v>86</v>
      </c>
      <c r="AS317" s="2" t="s">
        <v>86</v>
      </c>
      <c r="AT317" s="2" t="s">
        <v>86</v>
      </c>
      <c r="AU317" s="4">
        <v>163251</v>
      </c>
      <c r="AV317" s="2" t="s">
        <v>86</v>
      </c>
      <c r="AW317" s="2" t="s">
        <v>86</v>
      </c>
      <c r="AX317" s="4">
        <v>9</v>
      </c>
      <c r="AY317" s="2" t="s">
        <v>4538</v>
      </c>
      <c r="AZ317" s="2" t="s">
        <v>92</v>
      </c>
      <c r="BA317" s="2" t="s">
        <v>4539</v>
      </c>
      <c r="BB317" s="2" t="s">
        <v>5726</v>
      </c>
      <c r="BC317" s="2" t="s">
        <v>86</v>
      </c>
      <c r="BD317" s="2" t="s">
        <v>497</v>
      </c>
      <c r="BE317" s="2" t="s">
        <v>86</v>
      </c>
      <c r="BF317" s="2" t="s">
        <v>86</v>
      </c>
      <c r="BG317" s="2" t="s">
        <v>95</v>
      </c>
      <c r="BH317" s="2" t="s">
        <v>5727</v>
      </c>
      <c r="BI317" s="2" t="str">
        <f>HYPERLINK("https%3A%2F%2Fwww.webofscience.com%2Fwos%2Fwoscc%2Ffull-record%2FWOS:000506419900012","View Full Record in Web of Science")</f>
        <v>View Full Record in Web of Science</v>
      </c>
    </row>
    <row r="318" spans="1:61" customFormat="1" ht="12.75" x14ac:dyDescent="0.2">
      <c r="A318" s="1">
        <v>315</v>
      </c>
      <c r="B318" s="1" t="s">
        <v>1068</v>
      </c>
      <c r="C318" s="1" t="s">
        <v>5728</v>
      </c>
      <c r="D318" s="2" t="s">
        <v>5729</v>
      </c>
      <c r="E318" s="2" t="s">
        <v>5730</v>
      </c>
      <c r="F318" s="3" t="str">
        <f>HYPERLINK("http://dx.doi.org/10.1016/j.measurement.2016.02.058","http://dx.doi.org/10.1016/j.measurement.2016.02.058")</f>
        <v>http://dx.doi.org/10.1016/j.measurement.2016.02.058</v>
      </c>
      <c r="G318" s="2" t="s">
        <v>200</v>
      </c>
      <c r="H318" s="2" t="s">
        <v>5731</v>
      </c>
      <c r="I318" s="2" t="s">
        <v>5732</v>
      </c>
      <c r="J318" s="2" t="s">
        <v>5733</v>
      </c>
      <c r="K318" s="2" t="s">
        <v>68</v>
      </c>
      <c r="L318" s="2" t="s">
        <v>5734</v>
      </c>
      <c r="M318" s="2" t="s">
        <v>5735</v>
      </c>
      <c r="N318" s="2" t="s">
        <v>5736</v>
      </c>
      <c r="O318" s="2" t="s">
        <v>5737</v>
      </c>
      <c r="P318" s="2" t="s">
        <v>5738</v>
      </c>
      <c r="Q318" s="2" t="s">
        <v>5739</v>
      </c>
      <c r="R318" s="2" t="s">
        <v>5740</v>
      </c>
      <c r="S318" s="2" t="s">
        <v>5741</v>
      </c>
      <c r="T318" s="2" t="s">
        <v>86</v>
      </c>
      <c r="U318" s="2" t="s">
        <v>86</v>
      </c>
      <c r="V318" s="2" t="s">
        <v>86</v>
      </c>
      <c r="W318" s="2" t="s">
        <v>80</v>
      </c>
      <c r="X318" s="4">
        <v>19</v>
      </c>
      <c r="Y318" s="4">
        <v>36</v>
      </c>
      <c r="Z318" s="4">
        <v>38</v>
      </c>
      <c r="AA318" s="4">
        <v>1</v>
      </c>
      <c r="AB318" s="4">
        <v>29</v>
      </c>
      <c r="AC318" s="2" t="s">
        <v>114</v>
      </c>
      <c r="AD318" s="2" t="s">
        <v>115</v>
      </c>
      <c r="AE318" s="2" t="s">
        <v>116</v>
      </c>
      <c r="AF318" s="2" t="s">
        <v>5742</v>
      </c>
      <c r="AG318" s="2" t="s">
        <v>5743</v>
      </c>
      <c r="AH318" s="2" t="s">
        <v>86</v>
      </c>
      <c r="AI318" s="2" t="s">
        <v>5733</v>
      </c>
      <c r="AJ318" s="2" t="s">
        <v>5744</v>
      </c>
      <c r="AK318" s="2" t="s">
        <v>1220</v>
      </c>
      <c r="AL318" s="4">
        <v>2016</v>
      </c>
      <c r="AM318" s="4">
        <v>86</v>
      </c>
      <c r="AN318" s="2" t="s">
        <v>86</v>
      </c>
      <c r="AO318" s="2" t="s">
        <v>86</v>
      </c>
      <c r="AP318" s="2" t="s">
        <v>86</v>
      </c>
      <c r="AQ318" s="2" t="s">
        <v>86</v>
      </c>
      <c r="AR318" s="2" t="s">
        <v>86</v>
      </c>
      <c r="AS318" s="4">
        <v>202</v>
      </c>
      <c r="AT318" s="4">
        <v>208</v>
      </c>
      <c r="AU318" s="2" t="s">
        <v>86</v>
      </c>
      <c r="AV318" s="2" t="s">
        <v>86</v>
      </c>
      <c r="AW318" s="2" t="s">
        <v>86</v>
      </c>
      <c r="AX318" s="4">
        <v>7</v>
      </c>
      <c r="AY318" s="2" t="s">
        <v>5745</v>
      </c>
      <c r="AZ318" s="2" t="s">
        <v>92</v>
      </c>
      <c r="BA318" s="2" t="s">
        <v>5746</v>
      </c>
      <c r="BB318" s="2" t="s">
        <v>5747</v>
      </c>
      <c r="BC318" s="2" t="s">
        <v>86</v>
      </c>
      <c r="BD318" s="2" t="s">
        <v>86</v>
      </c>
      <c r="BE318" s="2" t="s">
        <v>86</v>
      </c>
      <c r="BF318" s="2" t="s">
        <v>86</v>
      </c>
      <c r="BG318" s="2" t="s">
        <v>95</v>
      </c>
      <c r="BH318" s="2" t="s">
        <v>5748</v>
      </c>
      <c r="BI318" s="2" t="str">
        <f>HYPERLINK("https%3A%2F%2Fwww.webofscience.com%2Fwos%2Fwoscc%2Ffull-record%2FWOS:000373200400019","View Full Record in Web of Science")</f>
        <v>View Full Record in Web of Science</v>
      </c>
    </row>
    <row r="319" spans="1:61" customFormat="1" ht="12.75" x14ac:dyDescent="0.2">
      <c r="A319" s="1">
        <v>316</v>
      </c>
      <c r="B319" s="1" t="s">
        <v>1068</v>
      </c>
      <c r="C319" s="1" t="s">
        <v>5749</v>
      </c>
      <c r="D319" s="2" t="s">
        <v>5750</v>
      </c>
      <c r="E319" s="2" t="s">
        <v>5751</v>
      </c>
      <c r="F319" s="3" t="str">
        <f>HYPERLINK("http://dx.doi.org/10.1016/j.msea.2012.08.148","http://dx.doi.org/10.1016/j.msea.2012.08.148")</f>
        <v>http://dx.doi.org/10.1016/j.msea.2012.08.148</v>
      </c>
      <c r="G319" s="2" t="s">
        <v>200</v>
      </c>
      <c r="H319" s="2" t="s">
        <v>5752</v>
      </c>
      <c r="I319" s="2" t="s">
        <v>5753</v>
      </c>
      <c r="J319" s="2" t="s">
        <v>5754</v>
      </c>
      <c r="K319" s="2" t="s">
        <v>68</v>
      </c>
      <c r="L319" s="2" t="s">
        <v>5755</v>
      </c>
      <c r="M319" s="2" t="s">
        <v>5756</v>
      </c>
      <c r="N319" s="2" t="s">
        <v>5757</v>
      </c>
      <c r="O319" s="2" t="s">
        <v>5758</v>
      </c>
      <c r="P319" s="2" t="s">
        <v>5759</v>
      </c>
      <c r="Q319" s="2" t="s">
        <v>5760</v>
      </c>
      <c r="R319" s="2" t="s">
        <v>5761</v>
      </c>
      <c r="S319" s="2" t="s">
        <v>5762</v>
      </c>
      <c r="T319" s="2" t="s">
        <v>86</v>
      </c>
      <c r="U319" s="2" t="s">
        <v>86</v>
      </c>
      <c r="V319" s="2" t="s">
        <v>86</v>
      </c>
      <c r="W319" s="2" t="s">
        <v>80</v>
      </c>
      <c r="X319" s="4">
        <v>22</v>
      </c>
      <c r="Y319" s="4">
        <v>19</v>
      </c>
      <c r="Z319" s="4">
        <v>21</v>
      </c>
      <c r="AA319" s="4">
        <v>1</v>
      </c>
      <c r="AB319" s="4">
        <v>70</v>
      </c>
      <c r="AC319" s="2" t="s">
        <v>5189</v>
      </c>
      <c r="AD319" s="2" t="s">
        <v>783</v>
      </c>
      <c r="AE319" s="2" t="s">
        <v>5190</v>
      </c>
      <c r="AF319" s="2" t="s">
        <v>5763</v>
      </c>
      <c r="AG319" s="2" t="s">
        <v>86</v>
      </c>
      <c r="AH319" s="2" t="s">
        <v>86</v>
      </c>
      <c r="AI319" s="2" t="s">
        <v>5764</v>
      </c>
      <c r="AJ319" s="2" t="s">
        <v>5765</v>
      </c>
      <c r="AK319" s="2" t="s">
        <v>1910</v>
      </c>
      <c r="AL319" s="4">
        <v>2013</v>
      </c>
      <c r="AM319" s="4">
        <v>559</v>
      </c>
      <c r="AN319" s="2" t="s">
        <v>86</v>
      </c>
      <c r="AO319" s="2" t="s">
        <v>86</v>
      </c>
      <c r="AP319" s="2" t="s">
        <v>86</v>
      </c>
      <c r="AQ319" s="2" t="s">
        <v>86</v>
      </c>
      <c r="AR319" s="2" t="s">
        <v>86</v>
      </c>
      <c r="AS319" s="4">
        <v>601</v>
      </c>
      <c r="AT319" s="4">
        <v>606</v>
      </c>
      <c r="AU319" s="2" t="s">
        <v>86</v>
      </c>
      <c r="AV319" s="2" t="s">
        <v>86</v>
      </c>
      <c r="AW319" s="2" t="s">
        <v>86</v>
      </c>
      <c r="AX319" s="4">
        <v>6</v>
      </c>
      <c r="AY319" s="2" t="s">
        <v>5766</v>
      </c>
      <c r="AZ319" s="2" t="s">
        <v>92</v>
      </c>
      <c r="BA319" s="2" t="s">
        <v>5767</v>
      </c>
      <c r="BB319" s="2" t="s">
        <v>5768</v>
      </c>
      <c r="BC319" s="2" t="s">
        <v>86</v>
      </c>
      <c r="BD319" s="2" t="s">
        <v>86</v>
      </c>
      <c r="BE319" s="2" t="s">
        <v>86</v>
      </c>
      <c r="BF319" s="2" t="s">
        <v>86</v>
      </c>
      <c r="BG319" s="2" t="s">
        <v>95</v>
      </c>
      <c r="BH319" s="2" t="s">
        <v>5769</v>
      </c>
      <c r="BI319" s="2" t="str">
        <f>HYPERLINK("https%3A%2F%2Fwww.webofscience.com%2Fwos%2Fwoscc%2Ffull-record%2FWOS:000312623600080","View Full Record in Web of Science")</f>
        <v>View Full Record in Web of Science</v>
      </c>
    </row>
    <row r="320" spans="1:61" customFormat="1" ht="12.75" x14ac:dyDescent="0.2">
      <c r="A320" s="1">
        <v>317</v>
      </c>
      <c r="B320" s="1" t="s">
        <v>1068</v>
      </c>
      <c r="C320" s="1" t="s">
        <v>5770</v>
      </c>
      <c r="D320" s="2" t="s">
        <v>5771</v>
      </c>
      <c r="E320" s="2" t="s">
        <v>5772</v>
      </c>
      <c r="F320" s="3" t="str">
        <f>HYPERLINK("http://dx.doi.org/10.1081/SL-200062997","http://dx.doi.org/10.1081/SL-200062997")</f>
        <v>http://dx.doi.org/10.1081/SL-200062997</v>
      </c>
      <c r="G320" s="2" t="s">
        <v>200</v>
      </c>
      <c r="H320" s="2" t="s">
        <v>5773</v>
      </c>
      <c r="I320" s="2" t="s">
        <v>5773</v>
      </c>
      <c r="J320" s="2" t="s">
        <v>5774</v>
      </c>
      <c r="K320" s="2" t="s">
        <v>68</v>
      </c>
      <c r="L320" s="2" t="s">
        <v>5775</v>
      </c>
      <c r="M320" s="2" t="s">
        <v>5776</v>
      </c>
      <c r="N320" s="2" t="s">
        <v>5777</v>
      </c>
      <c r="O320" s="2" t="s">
        <v>5778</v>
      </c>
      <c r="P320" s="2" t="s">
        <v>5779</v>
      </c>
      <c r="Q320" s="2" t="s">
        <v>5780</v>
      </c>
      <c r="R320" s="2" t="s">
        <v>5781</v>
      </c>
      <c r="S320" s="2" t="s">
        <v>5782</v>
      </c>
      <c r="T320" s="2" t="s">
        <v>86</v>
      </c>
      <c r="U320" s="2" t="s">
        <v>86</v>
      </c>
      <c r="V320" s="2" t="s">
        <v>86</v>
      </c>
      <c r="W320" s="2" t="s">
        <v>80</v>
      </c>
      <c r="X320" s="4">
        <v>20</v>
      </c>
      <c r="Y320" s="4">
        <v>11</v>
      </c>
      <c r="Z320" s="4">
        <v>13</v>
      </c>
      <c r="AA320" s="4">
        <v>0</v>
      </c>
      <c r="AB320" s="4">
        <v>24</v>
      </c>
      <c r="AC320" s="2" t="s">
        <v>260</v>
      </c>
      <c r="AD320" s="2" t="s">
        <v>261</v>
      </c>
      <c r="AE320" s="2" t="s">
        <v>262</v>
      </c>
      <c r="AF320" s="2" t="s">
        <v>5783</v>
      </c>
      <c r="AG320" s="2" t="s">
        <v>5784</v>
      </c>
      <c r="AH320" s="2" t="s">
        <v>86</v>
      </c>
      <c r="AI320" s="2" t="s">
        <v>5785</v>
      </c>
      <c r="AJ320" s="2" t="s">
        <v>5786</v>
      </c>
      <c r="AK320" s="2" t="s">
        <v>86</v>
      </c>
      <c r="AL320" s="4">
        <v>2005</v>
      </c>
      <c r="AM320" s="4">
        <v>38</v>
      </c>
      <c r="AN320" s="2" t="s">
        <v>5787</v>
      </c>
      <c r="AO320" s="2" t="s">
        <v>86</v>
      </c>
      <c r="AP320" s="2" t="s">
        <v>86</v>
      </c>
      <c r="AQ320" s="2" t="s">
        <v>86</v>
      </c>
      <c r="AR320" s="2" t="s">
        <v>86</v>
      </c>
      <c r="AS320" s="4">
        <v>405</v>
      </c>
      <c r="AT320" s="4">
        <v>417</v>
      </c>
      <c r="AU320" s="2" t="s">
        <v>86</v>
      </c>
      <c r="AV320" s="2" t="s">
        <v>86</v>
      </c>
      <c r="AW320" s="2" t="s">
        <v>86</v>
      </c>
      <c r="AX320" s="4">
        <v>13</v>
      </c>
      <c r="AY320" s="2" t="s">
        <v>5788</v>
      </c>
      <c r="AZ320" s="2" t="s">
        <v>92</v>
      </c>
      <c r="BA320" s="2" t="s">
        <v>5788</v>
      </c>
      <c r="BB320" s="2" t="s">
        <v>5789</v>
      </c>
      <c r="BC320" s="2" t="s">
        <v>86</v>
      </c>
      <c r="BD320" s="2" t="s">
        <v>86</v>
      </c>
      <c r="BE320" s="2" t="s">
        <v>86</v>
      </c>
      <c r="BF320" s="2" t="s">
        <v>86</v>
      </c>
      <c r="BG320" s="2" t="s">
        <v>95</v>
      </c>
      <c r="BH320" s="2" t="s">
        <v>5790</v>
      </c>
      <c r="BI320" s="2" t="str">
        <f>HYPERLINK("https%3A%2F%2Fwww.webofscience.com%2Fwos%2Fwoscc%2Ffull-record%2FWOS:000234818400002","View Full Record in Web of Science")</f>
        <v>View Full Record in Web of Science</v>
      </c>
    </row>
    <row r="321" spans="1:61" customFormat="1" ht="12.75" x14ac:dyDescent="0.2">
      <c r="A321" s="1">
        <v>318</v>
      </c>
      <c r="B321" s="1" t="s">
        <v>1068</v>
      </c>
      <c r="C321" s="1" t="s">
        <v>5791</v>
      </c>
      <c r="D321" s="2" t="s">
        <v>5792</v>
      </c>
      <c r="E321" s="2" t="s">
        <v>5793</v>
      </c>
      <c r="F321" s="3" t="str">
        <f>HYPERLINK("http://dx.doi.org/10.1002/pen.24581","http://dx.doi.org/10.1002/pen.24581")</f>
        <v>http://dx.doi.org/10.1002/pen.24581</v>
      </c>
      <c r="G321" s="2" t="s">
        <v>200</v>
      </c>
      <c r="H321" s="2" t="s">
        <v>5794</v>
      </c>
      <c r="I321" s="2" t="s">
        <v>5795</v>
      </c>
      <c r="J321" s="2" t="s">
        <v>5054</v>
      </c>
      <c r="K321" s="2" t="s">
        <v>68</v>
      </c>
      <c r="L321" s="2" t="s">
        <v>86</v>
      </c>
      <c r="M321" s="2" t="s">
        <v>5796</v>
      </c>
      <c r="N321" s="2" t="s">
        <v>5797</v>
      </c>
      <c r="O321" s="2" t="s">
        <v>5798</v>
      </c>
      <c r="P321" s="2" t="s">
        <v>5799</v>
      </c>
      <c r="Q321" s="2" t="s">
        <v>5800</v>
      </c>
      <c r="R321" s="2" t="s">
        <v>5801</v>
      </c>
      <c r="S321" s="2" t="s">
        <v>5802</v>
      </c>
      <c r="T321" s="2" t="s">
        <v>5803</v>
      </c>
      <c r="U321" s="2" t="s">
        <v>5804</v>
      </c>
      <c r="V321" s="2" t="s">
        <v>5805</v>
      </c>
      <c r="W321" s="2" t="s">
        <v>80</v>
      </c>
      <c r="X321" s="4">
        <v>30</v>
      </c>
      <c r="Y321" s="4">
        <v>3</v>
      </c>
      <c r="Z321" s="4">
        <v>3</v>
      </c>
      <c r="AA321" s="4">
        <v>0</v>
      </c>
      <c r="AB321" s="4">
        <v>20</v>
      </c>
      <c r="AC321" s="2" t="s">
        <v>956</v>
      </c>
      <c r="AD321" s="2" t="s">
        <v>957</v>
      </c>
      <c r="AE321" s="2" t="s">
        <v>958</v>
      </c>
      <c r="AF321" s="2" t="s">
        <v>5061</v>
      </c>
      <c r="AG321" s="2" t="s">
        <v>5062</v>
      </c>
      <c r="AH321" s="2" t="s">
        <v>86</v>
      </c>
      <c r="AI321" s="2" t="s">
        <v>5063</v>
      </c>
      <c r="AJ321" s="2" t="s">
        <v>5064</v>
      </c>
      <c r="AK321" s="2" t="s">
        <v>366</v>
      </c>
      <c r="AL321" s="4">
        <v>2018</v>
      </c>
      <c r="AM321" s="4">
        <v>58</v>
      </c>
      <c r="AN321" s="4">
        <v>3</v>
      </c>
      <c r="AO321" s="2" t="s">
        <v>86</v>
      </c>
      <c r="AP321" s="2" t="s">
        <v>86</v>
      </c>
      <c r="AQ321" s="2" t="s">
        <v>86</v>
      </c>
      <c r="AR321" s="2" t="s">
        <v>86</v>
      </c>
      <c r="AS321" s="4">
        <v>353</v>
      </c>
      <c r="AT321" s="4">
        <v>360</v>
      </c>
      <c r="AU321" s="2" t="s">
        <v>86</v>
      </c>
      <c r="AV321" s="2" t="s">
        <v>86</v>
      </c>
      <c r="AW321" s="2" t="s">
        <v>86</v>
      </c>
      <c r="AX321" s="4">
        <v>8</v>
      </c>
      <c r="AY321" s="2" t="s">
        <v>5065</v>
      </c>
      <c r="AZ321" s="2" t="s">
        <v>92</v>
      </c>
      <c r="BA321" s="2" t="s">
        <v>5066</v>
      </c>
      <c r="BB321" s="2" t="s">
        <v>5806</v>
      </c>
      <c r="BC321" s="2" t="s">
        <v>86</v>
      </c>
      <c r="BD321" s="2" t="s">
        <v>86</v>
      </c>
      <c r="BE321" s="2" t="s">
        <v>86</v>
      </c>
      <c r="BF321" s="2" t="s">
        <v>86</v>
      </c>
      <c r="BG321" s="2" t="s">
        <v>95</v>
      </c>
      <c r="BH321" s="2" t="s">
        <v>5807</v>
      </c>
      <c r="BI321" s="2" t="str">
        <f>HYPERLINK("https%3A%2F%2Fwww.webofscience.com%2Fwos%2Fwoscc%2Ffull-record%2FWOS:000427139100012","View Full Record in Web of Science")</f>
        <v>View Full Record in Web of Science</v>
      </c>
    </row>
    <row r="322" spans="1:61" customFormat="1" ht="12.75" x14ac:dyDescent="0.2">
      <c r="A322" s="1">
        <v>319</v>
      </c>
      <c r="B322" s="1" t="s">
        <v>1068</v>
      </c>
      <c r="C322" s="1" t="s">
        <v>5808</v>
      </c>
      <c r="D322" s="2" t="s">
        <v>5809</v>
      </c>
      <c r="E322" s="2" t="s">
        <v>5810</v>
      </c>
      <c r="F322" s="3" t="str">
        <f>HYPERLINK("http://dx.doi.org/10.1007/s11356-022-22383-4","http://dx.doi.org/10.1007/s11356-022-22383-4")</f>
        <v>http://dx.doi.org/10.1007/s11356-022-22383-4</v>
      </c>
      <c r="G322" s="2" t="s">
        <v>200</v>
      </c>
      <c r="H322" s="2" t="s">
        <v>5811</v>
      </c>
      <c r="I322" s="2" t="s">
        <v>5812</v>
      </c>
      <c r="J322" s="2" t="s">
        <v>67</v>
      </c>
      <c r="K322" s="2" t="s">
        <v>68</v>
      </c>
      <c r="L322" s="2" t="s">
        <v>5813</v>
      </c>
      <c r="M322" s="2" t="s">
        <v>5814</v>
      </c>
      <c r="N322" s="2" t="s">
        <v>5815</v>
      </c>
      <c r="O322" s="2" t="s">
        <v>5816</v>
      </c>
      <c r="P322" s="2" t="s">
        <v>5817</v>
      </c>
      <c r="Q322" s="2" t="s">
        <v>5818</v>
      </c>
      <c r="R322" s="2" t="s">
        <v>86</v>
      </c>
      <c r="S322" s="2" t="s">
        <v>5819</v>
      </c>
      <c r="T322" s="2" t="s">
        <v>86</v>
      </c>
      <c r="U322" s="2" t="s">
        <v>86</v>
      </c>
      <c r="V322" s="2" t="s">
        <v>86</v>
      </c>
      <c r="W322" s="2" t="s">
        <v>80</v>
      </c>
      <c r="X322" s="4">
        <v>55</v>
      </c>
      <c r="Y322" s="4">
        <v>0</v>
      </c>
      <c r="Z322" s="4">
        <v>0</v>
      </c>
      <c r="AA322" s="4">
        <v>12</v>
      </c>
      <c r="AB322" s="4">
        <v>21</v>
      </c>
      <c r="AC322" s="2" t="s">
        <v>81</v>
      </c>
      <c r="AD322" s="2" t="s">
        <v>82</v>
      </c>
      <c r="AE322" s="2" t="s">
        <v>83</v>
      </c>
      <c r="AF322" s="2" t="s">
        <v>84</v>
      </c>
      <c r="AG322" s="2" t="s">
        <v>85</v>
      </c>
      <c r="AH322" s="2" t="s">
        <v>86</v>
      </c>
      <c r="AI322" s="2" t="s">
        <v>87</v>
      </c>
      <c r="AJ322" s="2" t="s">
        <v>88</v>
      </c>
      <c r="AK322" s="2" t="s">
        <v>534</v>
      </c>
      <c r="AL322" s="4">
        <v>2023</v>
      </c>
      <c r="AM322" s="4">
        <v>30</v>
      </c>
      <c r="AN322" s="4">
        <v>2</v>
      </c>
      <c r="AO322" s="2" t="s">
        <v>86</v>
      </c>
      <c r="AP322" s="2" t="s">
        <v>86</v>
      </c>
      <c r="AQ322" s="2" t="s">
        <v>86</v>
      </c>
      <c r="AR322" s="2" t="s">
        <v>86</v>
      </c>
      <c r="AS322" s="4">
        <v>2469</v>
      </c>
      <c r="AT322" s="4">
        <v>2479</v>
      </c>
      <c r="AU322" s="2" t="s">
        <v>86</v>
      </c>
      <c r="AV322" s="2" t="s">
        <v>86</v>
      </c>
      <c r="AW322" s="2" t="s">
        <v>1638</v>
      </c>
      <c r="AX322" s="4">
        <v>11</v>
      </c>
      <c r="AY322" s="2" t="s">
        <v>91</v>
      </c>
      <c r="AZ322" s="2" t="s">
        <v>92</v>
      </c>
      <c r="BA322" s="2" t="s">
        <v>93</v>
      </c>
      <c r="BB322" s="2" t="s">
        <v>5820</v>
      </c>
      <c r="BC322" s="4">
        <v>35927407</v>
      </c>
      <c r="BD322" s="2" t="s">
        <v>86</v>
      </c>
      <c r="BE322" s="2" t="s">
        <v>86</v>
      </c>
      <c r="BF322" s="2" t="s">
        <v>86</v>
      </c>
      <c r="BG322" s="2" t="s">
        <v>95</v>
      </c>
      <c r="BH322" s="2" t="s">
        <v>5821</v>
      </c>
      <c r="BI322" s="2" t="str">
        <f>HYPERLINK("https%3A%2F%2Fwww.webofscience.com%2Fwos%2Fwoscc%2Ffull-record%2FWOS:000836114100001","View Full Record in Web of Science")</f>
        <v>View Full Record in Web of Science</v>
      </c>
    </row>
    <row r="323" spans="1:61" customFormat="1" ht="12.75" x14ac:dyDescent="0.2">
      <c r="A323" s="1">
        <v>320</v>
      </c>
      <c r="B323" s="1" t="s">
        <v>1068</v>
      </c>
      <c r="C323" s="1" t="s">
        <v>5822</v>
      </c>
      <c r="D323" s="2" t="s">
        <v>5823</v>
      </c>
      <c r="E323" s="2" t="s">
        <v>5824</v>
      </c>
      <c r="F323" s="3" t="str">
        <f>HYPERLINK("http://dx.doi.org/10.1007/s10853-011-5290-5","http://dx.doi.org/10.1007/s10853-011-5290-5")</f>
        <v>http://dx.doi.org/10.1007/s10853-011-5290-5</v>
      </c>
      <c r="G323" s="2" t="s">
        <v>200</v>
      </c>
      <c r="H323" s="2" t="s">
        <v>4642</v>
      </c>
      <c r="I323" s="2" t="s">
        <v>4643</v>
      </c>
      <c r="J323" s="2" t="s">
        <v>5825</v>
      </c>
      <c r="K323" s="2" t="s">
        <v>68</v>
      </c>
      <c r="L323" s="2" t="s">
        <v>86</v>
      </c>
      <c r="M323" s="2" t="s">
        <v>5826</v>
      </c>
      <c r="N323" s="2" t="s">
        <v>5827</v>
      </c>
      <c r="O323" s="2" t="s">
        <v>5186</v>
      </c>
      <c r="P323" s="2" t="s">
        <v>5828</v>
      </c>
      <c r="Q323" s="2" t="s">
        <v>5188</v>
      </c>
      <c r="R323" s="2" t="s">
        <v>86</v>
      </c>
      <c r="S323" s="2" t="s">
        <v>4650</v>
      </c>
      <c r="T323" s="2" t="s">
        <v>86</v>
      </c>
      <c r="U323" s="2" t="s">
        <v>86</v>
      </c>
      <c r="V323" s="2" t="s">
        <v>86</v>
      </c>
      <c r="W323" s="2" t="s">
        <v>80</v>
      </c>
      <c r="X323" s="4">
        <v>43</v>
      </c>
      <c r="Y323" s="4">
        <v>5</v>
      </c>
      <c r="Z323" s="4">
        <v>6</v>
      </c>
      <c r="AA323" s="4">
        <v>0</v>
      </c>
      <c r="AB323" s="4">
        <v>5</v>
      </c>
      <c r="AC323" s="2" t="s">
        <v>139</v>
      </c>
      <c r="AD323" s="2" t="s">
        <v>1355</v>
      </c>
      <c r="AE323" s="2" t="s">
        <v>1356</v>
      </c>
      <c r="AF323" s="2" t="s">
        <v>5829</v>
      </c>
      <c r="AG323" s="2" t="s">
        <v>5830</v>
      </c>
      <c r="AH323" s="2" t="s">
        <v>86</v>
      </c>
      <c r="AI323" s="2" t="s">
        <v>5831</v>
      </c>
      <c r="AJ323" s="2" t="s">
        <v>5832</v>
      </c>
      <c r="AK323" s="2" t="s">
        <v>342</v>
      </c>
      <c r="AL323" s="4">
        <v>2011</v>
      </c>
      <c r="AM323" s="4">
        <v>46</v>
      </c>
      <c r="AN323" s="4">
        <v>11</v>
      </c>
      <c r="AO323" s="2" t="s">
        <v>86</v>
      </c>
      <c r="AP323" s="2" t="s">
        <v>86</v>
      </c>
      <c r="AQ323" s="2" t="s">
        <v>86</v>
      </c>
      <c r="AR323" s="2" t="s">
        <v>86</v>
      </c>
      <c r="AS323" s="4">
        <v>3766</v>
      </c>
      <c r="AT323" s="4">
        <v>3776</v>
      </c>
      <c r="AU323" s="2" t="s">
        <v>86</v>
      </c>
      <c r="AV323" s="2" t="s">
        <v>86</v>
      </c>
      <c r="AW323" s="2" t="s">
        <v>86</v>
      </c>
      <c r="AX323" s="4">
        <v>11</v>
      </c>
      <c r="AY323" s="2" t="s">
        <v>5833</v>
      </c>
      <c r="AZ323" s="2" t="s">
        <v>92</v>
      </c>
      <c r="BA323" s="2" t="s">
        <v>3123</v>
      </c>
      <c r="BB323" s="2" t="s">
        <v>5834</v>
      </c>
      <c r="BC323" s="2" t="s">
        <v>86</v>
      </c>
      <c r="BD323" s="2" t="s">
        <v>86</v>
      </c>
      <c r="BE323" s="2" t="s">
        <v>86</v>
      </c>
      <c r="BF323" s="2" t="s">
        <v>86</v>
      </c>
      <c r="BG323" s="2" t="s">
        <v>95</v>
      </c>
      <c r="BH323" s="2" t="s">
        <v>5835</v>
      </c>
      <c r="BI323" s="2" t="str">
        <f>HYPERLINK("https%3A%2F%2Fwww.webofscience.com%2Fwos%2Fwoscc%2Ffull-record%2FWOS:000288514500011","View Full Record in Web of Science")</f>
        <v>View Full Record in Web of Science</v>
      </c>
    </row>
    <row r="324" spans="1:61" customFormat="1" ht="12.75" x14ac:dyDescent="0.2">
      <c r="A324" s="1">
        <v>321</v>
      </c>
      <c r="B324" s="1" t="s">
        <v>1068</v>
      </c>
      <c r="C324" s="1" t="s">
        <v>5836</v>
      </c>
      <c r="D324" s="2" t="s">
        <v>5837</v>
      </c>
      <c r="E324" s="2" t="s">
        <v>5838</v>
      </c>
      <c r="F324" s="3" t="str">
        <f>HYPERLINK("http://dx.doi.org/10.1007/s10163-022-01515-5","http://dx.doi.org/10.1007/s10163-022-01515-5")</f>
        <v>http://dx.doi.org/10.1007/s10163-022-01515-5</v>
      </c>
      <c r="G324" s="2" t="s">
        <v>200</v>
      </c>
      <c r="H324" s="2" t="s">
        <v>5839</v>
      </c>
      <c r="I324" s="2" t="s">
        <v>5840</v>
      </c>
      <c r="J324" s="2" t="s">
        <v>5841</v>
      </c>
      <c r="K324" s="2" t="s">
        <v>68</v>
      </c>
      <c r="L324" s="2" t="s">
        <v>5842</v>
      </c>
      <c r="M324" s="2" t="s">
        <v>5843</v>
      </c>
      <c r="N324" s="2" t="s">
        <v>5844</v>
      </c>
      <c r="O324" s="2" t="s">
        <v>5845</v>
      </c>
      <c r="P324" s="2" t="s">
        <v>5846</v>
      </c>
      <c r="Q324" s="2" t="s">
        <v>5847</v>
      </c>
      <c r="R324" s="2" t="s">
        <v>5848</v>
      </c>
      <c r="S324" s="2" t="s">
        <v>5849</v>
      </c>
      <c r="T324" s="2" t="s">
        <v>86</v>
      </c>
      <c r="U324" s="2" t="s">
        <v>86</v>
      </c>
      <c r="V324" s="2" t="s">
        <v>86</v>
      </c>
      <c r="W324" s="2" t="s">
        <v>80</v>
      </c>
      <c r="X324" s="4">
        <v>52</v>
      </c>
      <c r="Y324" s="4">
        <v>1</v>
      </c>
      <c r="Z324" s="4">
        <v>1</v>
      </c>
      <c r="AA324" s="4">
        <v>5</v>
      </c>
      <c r="AB324" s="4">
        <v>17</v>
      </c>
      <c r="AC324" s="2" t="s">
        <v>139</v>
      </c>
      <c r="AD324" s="2" t="s">
        <v>1355</v>
      </c>
      <c r="AE324" s="2" t="s">
        <v>1356</v>
      </c>
      <c r="AF324" s="2" t="s">
        <v>5850</v>
      </c>
      <c r="AG324" s="2" t="s">
        <v>5851</v>
      </c>
      <c r="AH324" s="2" t="s">
        <v>86</v>
      </c>
      <c r="AI324" s="2" t="s">
        <v>5852</v>
      </c>
      <c r="AJ324" s="2" t="s">
        <v>5853</v>
      </c>
      <c r="AK324" s="2" t="s">
        <v>534</v>
      </c>
      <c r="AL324" s="4">
        <v>2023</v>
      </c>
      <c r="AM324" s="4">
        <v>25</v>
      </c>
      <c r="AN324" s="4">
        <v>1</v>
      </c>
      <c r="AO324" s="2" t="s">
        <v>86</v>
      </c>
      <c r="AP324" s="2" t="s">
        <v>86</v>
      </c>
      <c r="AQ324" s="2" t="s">
        <v>86</v>
      </c>
      <c r="AR324" s="2" t="s">
        <v>86</v>
      </c>
      <c r="AS324" s="4">
        <v>74</v>
      </c>
      <c r="AT324" s="4">
        <v>85</v>
      </c>
      <c r="AU324" s="2" t="s">
        <v>86</v>
      </c>
      <c r="AV324" s="2" t="s">
        <v>86</v>
      </c>
      <c r="AW324" s="2" t="s">
        <v>657</v>
      </c>
      <c r="AX324" s="4">
        <v>12</v>
      </c>
      <c r="AY324" s="2" t="s">
        <v>91</v>
      </c>
      <c r="AZ324" s="2" t="s">
        <v>92</v>
      </c>
      <c r="BA324" s="2" t="s">
        <v>93</v>
      </c>
      <c r="BB324" s="2" t="s">
        <v>5854</v>
      </c>
      <c r="BC324" s="4">
        <v>36249571</v>
      </c>
      <c r="BD324" s="2" t="s">
        <v>3273</v>
      </c>
      <c r="BE324" s="2" t="s">
        <v>86</v>
      </c>
      <c r="BF324" s="2" t="s">
        <v>86</v>
      </c>
      <c r="BG324" s="2" t="s">
        <v>95</v>
      </c>
      <c r="BH324" s="2" t="s">
        <v>5855</v>
      </c>
      <c r="BI324" s="2" t="str">
        <f>HYPERLINK("https%3A%2F%2Fwww.webofscience.com%2Fwos%2Fwoscc%2Ffull-record%2FWOS:000865710900001","View Full Record in Web of Science")</f>
        <v>View Full Record in Web of Science</v>
      </c>
    </row>
    <row r="325" spans="1:61" customFormat="1" ht="12.75" x14ac:dyDescent="0.2">
      <c r="A325" s="1">
        <v>322</v>
      </c>
      <c r="B325" s="1" t="s">
        <v>1068</v>
      </c>
      <c r="C325" s="1" t="s">
        <v>5856</v>
      </c>
      <c r="D325" s="2" t="s">
        <v>5857</v>
      </c>
      <c r="E325" s="2" t="s">
        <v>5858</v>
      </c>
      <c r="F325" s="3" t="str">
        <f>HYPERLINK("http://dx.doi.org/10.1016/j.envpol.2022.119851","http://dx.doi.org/10.1016/j.envpol.2022.119851")</f>
        <v>http://dx.doi.org/10.1016/j.envpol.2022.119851</v>
      </c>
      <c r="G325" s="2" t="s">
        <v>200</v>
      </c>
      <c r="H325" s="2" t="s">
        <v>5859</v>
      </c>
      <c r="I325" s="2" t="s">
        <v>5860</v>
      </c>
      <c r="J325" s="2" t="s">
        <v>102</v>
      </c>
      <c r="K325" s="2" t="s">
        <v>68</v>
      </c>
      <c r="L325" s="2" t="s">
        <v>5861</v>
      </c>
      <c r="M325" s="2" t="s">
        <v>5862</v>
      </c>
      <c r="N325" s="2" t="s">
        <v>5863</v>
      </c>
      <c r="O325" s="2" t="s">
        <v>3725</v>
      </c>
      <c r="P325" s="2" t="s">
        <v>5864</v>
      </c>
      <c r="Q325" s="2" t="s">
        <v>5865</v>
      </c>
      <c r="R325" s="2" t="s">
        <v>5866</v>
      </c>
      <c r="S325" s="2" t="s">
        <v>5867</v>
      </c>
      <c r="T325" s="2" t="s">
        <v>5868</v>
      </c>
      <c r="U325" s="2" t="s">
        <v>5869</v>
      </c>
      <c r="V325" s="2" t="s">
        <v>5870</v>
      </c>
      <c r="W325" s="2" t="s">
        <v>80</v>
      </c>
      <c r="X325" s="4">
        <v>80</v>
      </c>
      <c r="Y325" s="4">
        <v>3</v>
      </c>
      <c r="Z325" s="4">
        <v>3</v>
      </c>
      <c r="AA325" s="4">
        <v>18</v>
      </c>
      <c r="AB325" s="4">
        <v>51</v>
      </c>
      <c r="AC325" s="2" t="s">
        <v>114</v>
      </c>
      <c r="AD325" s="2" t="s">
        <v>115</v>
      </c>
      <c r="AE325" s="2" t="s">
        <v>116</v>
      </c>
      <c r="AF325" s="2" t="s">
        <v>117</v>
      </c>
      <c r="AG325" s="2" t="s">
        <v>118</v>
      </c>
      <c r="AH325" s="2" t="s">
        <v>86</v>
      </c>
      <c r="AI325" s="2" t="s">
        <v>119</v>
      </c>
      <c r="AJ325" s="2" t="s">
        <v>120</v>
      </c>
      <c r="AK325" s="2" t="s">
        <v>493</v>
      </c>
      <c r="AL325" s="4">
        <v>2022</v>
      </c>
      <c r="AM325" s="4">
        <v>311</v>
      </c>
      <c r="AN325" s="2" t="s">
        <v>86</v>
      </c>
      <c r="AO325" s="2" t="s">
        <v>86</v>
      </c>
      <c r="AP325" s="2" t="s">
        <v>86</v>
      </c>
      <c r="AQ325" s="2" t="s">
        <v>86</v>
      </c>
      <c r="AR325" s="2" t="s">
        <v>86</v>
      </c>
      <c r="AS325" s="2" t="s">
        <v>86</v>
      </c>
      <c r="AT325" s="2" t="s">
        <v>86</v>
      </c>
      <c r="AU325" s="4">
        <v>119851</v>
      </c>
      <c r="AV325" s="2" t="s">
        <v>86</v>
      </c>
      <c r="AW325" s="2" t="s">
        <v>1638</v>
      </c>
      <c r="AX325" s="4">
        <v>13</v>
      </c>
      <c r="AY325" s="2" t="s">
        <v>91</v>
      </c>
      <c r="AZ325" s="2" t="s">
        <v>92</v>
      </c>
      <c r="BA325" s="2" t="s">
        <v>93</v>
      </c>
      <c r="BB325" s="2" t="s">
        <v>5871</v>
      </c>
      <c r="BC325" s="4">
        <v>35987286</v>
      </c>
      <c r="BD325" s="2" t="s">
        <v>86</v>
      </c>
      <c r="BE325" s="2" t="s">
        <v>86</v>
      </c>
      <c r="BF325" s="2" t="s">
        <v>86</v>
      </c>
      <c r="BG325" s="2" t="s">
        <v>95</v>
      </c>
      <c r="BH325" s="2" t="s">
        <v>5872</v>
      </c>
      <c r="BI325" s="2" t="str">
        <f>HYPERLINK("https%3A%2F%2Fwww.webofscience.com%2Fwos%2Fwoscc%2Ffull-record%2FWOS:000848816000008","View Full Record in Web of Science")</f>
        <v>View Full Record in Web of Science</v>
      </c>
    </row>
    <row r="326" spans="1:61" customFormat="1" ht="12.75" x14ac:dyDescent="0.2">
      <c r="A326" s="1">
        <v>323</v>
      </c>
      <c r="B326" s="1" t="s">
        <v>1068</v>
      </c>
      <c r="C326" s="1" t="s">
        <v>5873</v>
      </c>
      <c r="D326" s="2" t="s">
        <v>5874</v>
      </c>
      <c r="E326" s="2" t="s">
        <v>5875</v>
      </c>
      <c r="F326" s="3" t="str">
        <f>HYPERLINK("http://dx.doi.org/10.1007/s12034-022-02668-7","http://dx.doi.org/10.1007/s12034-022-02668-7")</f>
        <v>http://dx.doi.org/10.1007/s12034-022-02668-7</v>
      </c>
      <c r="G326" s="2" t="s">
        <v>200</v>
      </c>
      <c r="H326" s="2" t="s">
        <v>5876</v>
      </c>
      <c r="I326" s="2" t="s">
        <v>5877</v>
      </c>
      <c r="J326" s="2" t="s">
        <v>5878</v>
      </c>
      <c r="K326" s="2" t="s">
        <v>68</v>
      </c>
      <c r="L326" s="2" t="s">
        <v>5879</v>
      </c>
      <c r="M326" s="2" t="s">
        <v>5880</v>
      </c>
      <c r="N326" s="2" t="s">
        <v>5881</v>
      </c>
      <c r="O326" s="2" t="s">
        <v>5882</v>
      </c>
      <c r="P326" s="2" t="s">
        <v>5883</v>
      </c>
      <c r="Q326" s="2" t="s">
        <v>5884</v>
      </c>
      <c r="R326" s="2" t="s">
        <v>86</v>
      </c>
      <c r="S326" s="2" t="s">
        <v>5885</v>
      </c>
      <c r="T326" s="2" t="s">
        <v>5886</v>
      </c>
      <c r="U326" s="2" t="s">
        <v>434</v>
      </c>
      <c r="V326" s="2" t="s">
        <v>5887</v>
      </c>
      <c r="W326" s="2" t="s">
        <v>80</v>
      </c>
      <c r="X326" s="4">
        <v>37</v>
      </c>
      <c r="Y326" s="4">
        <v>3</v>
      </c>
      <c r="Z326" s="4">
        <v>3</v>
      </c>
      <c r="AA326" s="4">
        <v>2</v>
      </c>
      <c r="AB326" s="4">
        <v>11</v>
      </c>
      <c r="AC326" s="2" t="s">
        <v>5888</v>
      </c>
      <c r="AD326" s="2" t="s">
        <v>5889</v>
      </c>
      <c r="AE326" s="2" t="s">
        <v>5890</v>
      </c>
      <c r="AF326" s="2" t="s">
        <v>5891</v>
      </c>
      <c r="AG326" s="2" t="s">
        <v>5892</v>
      </c>
      <c r="AH326" s="2" t="s">
        <v>86</v>
      </c>
      <c r="AI326" s="2" t="s">
        <v>5893</v>
      </c>
      <c r="AJ326" s="2" t="s">
        <v>5894</v>
      </c>
      <c r="AK326" s="2" t="s">
        <v>5895</v>
      </c>
      <c r="AL326" s="4">
        <v>2022</v>
      </c>
      <c r="AM326" s="4">
        <v>45</v>
      </c>
      <c r="AN326" s="4">
        <v>2</v>
      </c>
      <c r="AO326" s="2" t="s">
        <v>86</v>
      </c>
      <c r="AP326" s="2" t="s">
        <v>86</v>
      </c>
      <c r="AQ326" s="2" t="s">
        <v>86</v>
      </c>
      <c r="AR326" s="2" t="s">
        <v>86</v>
      </c>
      <c r="AS326" s="2" t="s">
        <v>86</v>
      </c>
      <c r="AT326" s="2" t="s">
        <v>86</v>
      </c>
      <c r="AU326" s="4">
        <v>93</v>
      </c>
      <c r="AV326" s="2" t="s">
        <v>86</v>
      </c>
      <c r="AW326" s="2" t="s">
        <v>86</v>
      </c>
      <c r="AX326" s="4">
        <v>8</v>
      </c>
      <c r="AY326" s="2" t="s">
        <v>5833</v>
      </c>
      <c r="AZ326" s="2" t="s">
        <v>92</v>
      </c>
      <c r="BA326" s="2" t="s">
        <v>3123</v>
      </c>
      <c r="BB326" s="2" t="s">
        <v>5896</v>
      </c>
      <c r="BC326" s="2" t="s">
        <v>86</v>
      </c>
      <c r="BD326" s="2" t="s">
        <v>1491</v>
      </c>
      <c r="BE326" s="2" t="s">
        <v>86</v>
      </c>
      <c r="BF326" s="2" t="s">
        <v>86</v>
      </c>
      <c r="BG326" s="2" t="s">
        <v>95</v>
      </c>
      <c r="BH326" s="2" t="s">
        <v>5897</v>
      </c>
      <c r="BI326" s="2" t="str">
        <f>HYPERLINK("https%3A%2F%2Fwww.webofscience.com%2Fwos%2Fwoscc%2Ffull-record%2FWOS:000801141600001","View Full Record in Web of Science")</f>
        <v>View Full Record in Web of Science</v>
      </c>
    </row>
    <row r="327" spans="1:61" customFormat="1" ht="12.75" x14ac:dyDescent="0.2">
      <c r="A327" s="1">
        <v>324</v>
      </c>
      <c r="B327" s="1" t="s">
        <v>1068</v>
      </c>
      <c r="C327" s="1" t="s">
        <v>5898</v>
      </c>
      <c r="D327" s="2" t="s">
        <v>5899</v>
      </c>
      <c r="E327" s="2" t="s">
        <v>5900</v>
      </c>
      <c r="F327" s="3" t="str">
        <f>HYPERLINK("http://dx.doi.org/10.1002/pen.23480","http://dx.doi.org/10.1002/pen.23480")</f>
        <v>http://dx.doi.org/10.1002/pen.23480</v>
      </c>
      <c r="G327" s="2" t="s">
        <v>200</v>
      </c>
      <c r="H327" s="2" t="s">
        <v>5901</v>
      </c>
      <c r="I327" s="2" t="s">
        <v>5902</v>
      </c>
      <c r="J327" s="2" t="s">
        <v>5054</v>
      </c>
      <c r="K327" s="2" t="s">
        <v>68</v>
      </c>
      <c r="L327" s="2" t="s">
        <v>86</v>
      </c>
      <c r="M327" s="2" t="s">
        <v>5903</v>
      </c>
      <c r="N327" s="2" t="s">
        <v>5904</v>
      </c>
      <c r="O327" s="2" t="s">
        <v>2356</v>
      </c>
      <c r="P327" s="2" t="s">
        <v>5905</v>
      </c>
      <c r="Q327" s="2" t="s">
        <v>5906</v>
      </c>
      <c r="R327" s="2" t="s">
        <v>5907</v>
      </c>
      <c r="S327" s="2" t="s">
        <v>86</v>
      </c>
      <c r="T327" s="2" t="s">
        <v>5908</v>
      </c>
      <c r="U327" s="2" t="s">
        <v>5909</v>
      </c>
      <c r="V327" s="2" t="s">
        <v>5910</v>
      </c>
      <c r="W327" s="2" t="s">
        <v>80</v>
      </c>
      <c r="X327" s="4">
        <v>41</v>
      </c>
      <c r="Y327" s="4">
        <v>13</v>
      </c>
      <c r="Z327" s="4">
        <v>13</v>
      </c>
      <c r="AA327" s="4">
        <v>0</v>
      </c>
      <c r="AB327" s="4">
        <v>37</v>
      </c>
      <c r="AC327" s="2" t="s">
        <v>5911</v>
      </c>
      <c r="AD327" s="2" t="s">
        <v>957</v>
      </c>
      <c r="AE327" s="2" t="s">
        <v>958</v>
      </c>
      <c r="AF327" s="2" t="s">
        <v>5061</v>
      </c>
      <c r="AG327" s="2" t="s">
        <v>86</v>
      </c>
      <c r="AH327" s="2" t="s">
        <v>86</v>
      </c>
      <c r="AI327" s="2" t="s">
        <v>5063</v>
      </c>
      <c r="AJ327" s="2" t="s">
        <v>5064</v>
      </c>
      <c r="AK327" s="2" t="s">
        <v>873</v>
      </c>
      <c r="AL327" s="4">
        <v>2013</v>
      </c>
      <c r="AM327" s="4">
        <v>53</v>
      </c>
      <c r="AN327" s="4">
        <v>10</v>
      </c>
      <c r="AO327" s="2" t="s">
        <v>86</v>
      </c>
      <c r="AP327" s="2" t="s">
        <v>86</v>
      </c>
      <c r="AQ327" s="2" t="s">
        <v>86</v>
      </c>
      <c r="AR327" s="2" t="s">
        <v>86</v>
      </c>
      <c r="AS327" s="4">
        <v>2102</v>
      </c>
      <c r="AT327" s="4">
        <v>2108</v>
      </c>
      <c r="AU327" s="2" t="s">
        <v>86</v>
      </c>
      <c r="AV327" s="2" t="s">
        <v>86</v>
      </c>
      <c r="AW327" s="2" t="s">
        <v>86</v>
      </c>
      <c r="AX327" s="4">
        <v>7</v>
      </c>
      <c r="AY327" s="2" t="s">
        <v>5065</v>
      </c>
      <c r="AZ327" s="2" t="s">
        <v>92</v>
      </c>
      <c r="BA327" s="2" t="s">
        <v>5066</v>
      </c>
      <c r="BB327" s="2" t="s">
        <v>5912</v>
      </c>
      <c r="BC327" s="2" t="s">
        <v>86</v>
      </c>
      <c r="BD327" s="2" t="s">
        <v>86</v>
      </c>
      <c r="BE327" s="2" t="s">
        <v>86</v>
      </c>
      <c r="BF327" s="2" t="s">
        <v>86</v>
      </c>
      <c r="BG327" s="2" t="s">
        <v>95</v>
      </c>
      <c r="BH327" s="2" t="s">
        <v>5913</v>
      </c>
      <c r="BI327" s="2" t="str">
        <f>HYPERLINK("https%3A%2F%2Fwww.webofscience.com%2Fwos%2Fwoscc%2Ffull-record%2FWOS:000324925800008","View Full Record in Web of Science")</f>
        <v>View Full Record in Web of Science</v>
      </c>
    </row>
    <row r="328" spans="1:61" customFormat="1" ht="12.75" x14ac:dyDescent="0.2">
      <c r="A328" s="1">
        <v>325</v>
      </c>
      <c r="B328" s="1" t="s">
        <v>1068</v>
      </c>
      <c r="C328" s="1" t="s">
        <v>5914</v>
      </c>
      <c r="D328" s="2" t="s">
        <v>5915</v>
      </c>
      <c r="E328" s="2" t="s">
        <v>5916</v>
      </c>
      <c r="F328" s="3" t="str">
        <f>HYPERLINK("http://dx.doi.org/10.1016/S1383-5718(97)00080-6","http://dx.doi.org/10.1016/S1383-5718(97)00080-6")</f>
        <v>http://dx.doi.org/10.1016/S1383-5718(97)00080-6</v>
      </c>
      <c r="G328" s="2" t="s">
        <v>200</v>
      </c>
      <c r="H328" s="2" t="s">
        <v>5917</v>
      </c>
      <c r="I328" s="2" t="s">
        <v>5917</v>
      </c>
      <c r="J328" s="2" t="s">
        <v>5918</v>
      </c>
      <c r="K328" s="2" t="s">
        <v>68</v>
      </c>
      <c r="L328" s="2" t="s">
        <v>5919</v>
      </c>
      <c r="M328" s="2" t="s">
        <v>5920</v>
      </c>
      <c r="N328" s="2" t="s">
        <v>5921</v>
      </c>
      <c r="O328" s="2" t="s">
        <v>4331</v>
      </c>
      <c r="P328" s="2" t="s">
        <v>86</v>
      </c>
      <c r="Q328" s="2" t="s">
        <v>86</v>
      </c>
      <c r="R328" s="2" t="s">
        <v>5922</v>
      </c>
      <c r="S328" s="2" t="s">
        <v>5923</v>
      </c>
      <c r="T328" s="2" t="s">
        <v>86</v>
      </c>
      <c r="U328" s="2" t="s">
        <v>86</v>
      </c>
      <c r="V328" s="2" t="s">
        <v>86</v>
      </c>
      <c r="W328" s="2" t="s">
        <v>80</v>
      </c>
      <c r="X328" s="4">
        <v>48</v>
      </c>
      <c r="Y328" s="4">
        <v>16</v>
      </c>
      <c r="Z328" s="4">
        <v>16</v>
      </c>
      <c r="AA328" s="4">
        <v>0</v>
      </c>
      <c r="AB328" s="4">
        <v>6</v>
      </c>
      <c r="AC328" s="2" t="s">
        <v>585</v>
      </c>
      <c r="AD328" s="2" t="s">
        <v>586</v>
      </c>
      <c r="AE328" s="2" t="s">
        <v>587</v>
      </c>
      <c r="AF328" s="2" t="s">
        <v>5924</v>
      </c>
      <c r="AG328" s="2" t="s">
        <v>5925</v>
      </c>
      <c r="AH328" s="2" t="s">
        <v>86</v>
      </c>
      <c r="AI328" s="2" t="s">
        <v>5926</v>
      </c>
      <c r="AJ328" s="2" t="s">
        <v>5927</v>
      </c>
      <c r="AK328" s="2" t="s">
        <v>5928</v>
      </c>
      <c r="AL328" s="4">
        <v>1997</v>
      </c>
      <c r="AM328" s="4">
        <v>392</v>
      </c>
      <c r="AN328" s="4">
        <v>3</v>
      </c>
      <c r="AO328" s="2" t="s">
        <v>86</v>
      </c>
      <c r="AP328" s="2" t="s">
        <v>86</v>
      </c>
      <c r="AQ328" s="2" t="s">
        <v>86</v>
      </c>
      <c r="AR328" s="2" t="s">
        <v>86</v>
      </c>
      <c r="AS328" s="4">
        <v>261</v>
      </c>
      <c r="AT328" s="4">
        <v>268</v>
      </c>
      <c r="AU328" s="2" t="s">
        <v>86</v>
      </c>
      <c r="AV328" s="2" t="s">
        <v>86</v>
      </c>
      <c r="AW328" s="2" t="s">
        <v>86</v>
      </c>
      <c r="AX328" s="4">
        <v>8</v>
      </c>
      <c r="AY328" s="2" t="s">
        <v>5929</v>
      </c>
      <c r="AZ328" s="2" t="s">
        <v>92</v>
      </c>
      <c r="BA328" s="2" t="s">
        <v>5929</v>
      </c>
      <c r="BB328" s="2" t="s">
        <v>5930</v>
      </c>
      <c r="BC328" s="4">
        <v>9294026</v>
      </c>
      <c r="BD328" s="2" t="s">
        <v>86</v>
      </c>
      <c r="BE328" s="2" t="s">
        <v>86</v>
      </c>
      <c r="BF328" s="2" t="s">
        <v>86</v>
      </c>
      <c r="BG328" s="2" t="s">
        <v>95</v>
      </c>
      <c r="BH328" s="2" t="s">
        <v>5931</v>
      </c>
      <c r="BI328" s="2" t="str">
        <f>HYPERLINK("https%3A%2F%2Fwww.webofscience.com%2Fwos%2Fwoscc%2Ffull-record%2FWOS:A1997XV13500007","View Full Record in Web of Science")</f>
        <v>View Full Record in Web of Science</v>
      </c>
    </row>
    <row r="329" spans="1:61" customFormat="1" ht="12.75" x14ac:dyDescent="0.2">
      <c r="A329" s="1">
        <v>326</v>
      </c>
      <c r="B329" s="1" t="s">
        <v>1068</v>
      </c>
      <c r="C329" s="1" t="s">
        <v>5932</v>
      </c>
      <c r="D329" s="2" t="s">
        <v>5933</v>
      </c>
      <c r="E329" s="2" t="s">
        <v>5934</v>
      </c>
      <c r="F329" s="3" t="str">
        <f>HYPERLINK("http://dx.doi.org/10.1097/01.PRS.0000133166.50279.7C","http://dx.doi.org/10.1097/01.PRS.0000133166.50279.7C")</f>
        <v>http://dx.doi.org/10.1097/01.PRS.0000133166.50279.7C</v>
      </c>
      <c r="G329" s="2" t="s">
        <v>200</v>
      </c>
      <c r="H329" s="2" t="s">
        <v>5935</v>
      </c>
      <c r="I329" s="2" t="s">
        <v>5935</v>
      </c>
      <c r="J329" s="2" t="s">
        <v>5936</v>
      </c>
      <c r="K329" s="2" t="s">
        <v>68</v>
      </c>
      <c r="L329" s="2" t="s">
        <v>86</v>
      </c>
      <c r="M329" s="2" t="s">
        <v>5937</v>
      </c>
      <c r="N329" s="2" t="s">
        <v>5938</v>
      </c>
      <c r="O329" s="2" t="s">
        <v>5939</v>
      </c>
      <c r="P329" s="2" t="s">
        <v>5940</v>
      </c>
      <c r="Q329" s="2" t="s">
        <v>5941</v>
      </c>
      <c r="R329" s="2" t="s">
        <v>5942</v>
      </c>
      <c r="S329" s="2" t="s">
        <v>5943</v>
      </c>
      <c r="T329" s="2" t="s">
        <v>86</v>
      </c>
      <c r="U329" s="2" t="s">
        <v>86</v>
      </c>
      <c r="V329" s="2" t="s">
        <v>86</v>
      </c>
      <c r="W329" s="2" t="s">
        <v>80</v>
      </c>
      <c r="X329" s="4">
        <v>63</v>
      </c>
      <c r="Y329" s="4">
        <v>36</v>
      </c>
      <c r="Z329" s="4">
        <v>36</v>
      </c>
      <c r="AA329" s="4">
        <v>0</v>
      </c>
      <c r="AB329" s="4">
        <v>7</v>
      </c>
      <c r="AC329" s="2" t="s">
        <v>5944</v>
      </c>
      <c r="AD329" s="2" t="s">
        <v>261</v>
      </c>
      <c r="AE329" s="2" t="s">
        <v>5945</v>
      </c>
      <c r="AF329" s="2" t="s">
        <v>5946</v>
      </c>
      <c r="AG329" s="2" t="s">
        <v>5947</v>
      </c>
      <c r="AH329" s="2" t="s">
        <v>86</v>
      </c>
      <c r="AI329" s="2" t="s">
        <v>5948</v>
      </c>
      <c r="AJ329" s="2" t="s">
        <v>5949</v>
      </c>
      <c r="AK329" s="2" t="s">
        <v>5950</v>
      </c>
      <c r="AL329" s="4">
        <v>2004</v>
      </c>
      <c r="AM329" s="4">
        <v>114</v>
      </c>
      <c r="AN329" s="4">
        <v>4</v>
      </c>
      <c r="AO329" s="2" t="s">
        <v>86</v>
      </c>
      <c r="AP329" s="2" t="s">
        <v>86</v>
      </c>
      <c r="AQ329" s="2" t="s">
        <v>86</v>
      </c>
      <c r="AR329" s="2" t="s">
        <v>86</v>
      </c>
      <c r="AS329" s="4">
        <v>923</v>
      </c>
      <c r="AT329" s="4">
        <v>931</v>
      </c>
      <c r="AU329" s="2" t="s">
        <v>86</v>
      </c>
      <c r="AV329" s="2" t="s">
        <v>86</v>
      </c>
      <c r="AW329" s="2" t="s">
        <v>86</v>
      </c>
      <c r="AX329" s="4">
        <v>9</v>
      </c>
      <c r="AY329" s="2" t="s">
        <v>5289</v>
      </c>
      <c r="AZ329" s="2" t="s">
        <v>92</v>
      </c>
      <c r="BA329" s="2" t="s">
        <v>5289</v>
      </c>
      <c r="BB329" s="2" t="s">
        <v>5951</v>
      </c>
      <c r="BC329" s="4">
        <v>15468400</v>
      </c>
      <c r="BD329" s="2" t="s">
        <v>86</v>
      </c>
      <c r="BE329" s="2" t="s">
        <v>86</v>
      </c>
      <c r="BF329" s="2" t="s">
        <v>86</v>
      </c>
      <c r="BG329" s="2" t="s">
        <v>95</v>
      </c>
      <c r="BH329" s="2" t="s">
        <v>5952</v>
      </c>
      <c r="BI329" s="2" t="str">
        <f>HYPERLINK("https%3A%2F%2Fwww.webofscience.com%2Fwos%2Fwoscc%2Ffull-record%2FWOS:000223693000017","View Full Record in Web of Science")</f>
        <v>View Full Record in Web of Science</v>
      </c>
    </row>
    <row r="330" spans="1:61" customFormat="1" ht="12.75" x14ac:dyDescent="0.2">
      <c r="A330" s="1">
        <v>327</v>
      </c>
      <c r="B330" s="1" t="s">
        <v>1068</v>
      </c>
      <c r="C330" s="1" t="s">
        <v>5953</v>
      </c>
      <c r="D330" s="2" t="s">
        <v>5954</v>
      </c>
      <c r="E330" s="2" t="s">
        <v>5955</v>
      </c>
      <c r="F330" s="3" t="str">
        <f>HYPERLINK("http://dx.doi.org/10.1038/s41893-021-00722-6","http://dx.doi.org/10.1038/s41893-021-00722-6")</f>
        <v>http://dx.doi.org/10.1038/s41893-021-00722-6</v>
      </c>
      <c r="G330" s="2" t="s">
        <v>200</v>
      </c>
      <c r="H330" s="2" t="s">
        <v>5956</v>
      </c>
      <c r="I330" s="2" t="s">
        <v>5957</v>
      </c>
      <c r="J330" s="2" t="s">
        <v>5958</v>
      </c>
      <c r="K330" s="2" t="s">
        <v>68</v>
      </c>
      <c r="L330" s="2" t="s">
        <v>86</v>
      </c>
      <c r="M330" s="2" t="s">
        <v>5959</v>
      </c>
      <c r="N330" s="2" t="s">
        <v>5960</v>
      </c>
      <c r="O330" s="2" t="s">
        <v>5961</v>
      </c>
      <c r="P330" s="2" t="s">
        <v>5962</v>
      </c>
      <c r="Q330" s="2" t="s">
        <v>3571</v>
      </c>
      <c r="R330" s="2" t="s">
        <v>5963</v>
      </c>
      <c r="S330" s="2" t="s">
        <v>5964</v>
      </c>
      <c r="T330" s="2" t="s">
        <v>86</v>
      </c>
      <c r="U330" s="2" t="s">
        <v>86</v>
      </c>
      <c r="V330" s="2" t="s">
        <v>86</v>
      </c>
      <c r="W330" s="2" t="s">
        <v>80</v>
      </c>
      <c r="X330" s="4">
        <v>49</v>
      </c>
      <c r="Y330" s="4">
        <v>83</v>
      </c>
      <c r="Z330" s="4">
        <v>84</v>
      </c>
      <c r="AA330" s="4">
        <v>11</v>
      </c>
      <c r="AB330" s="4">
        <v>54</v>
      </c>
      <c r="AC330" s="2" t="s">
        <v>5965</v>
      </c>
      <c r="AD330" s="2" t="s">
        <v>5530</v>
      </c>
      <c r="AE330" s="2" t="s">
        <v>5966</v>
      </c>
      <c r="AF330" s="2" t="s">
        <v>5967</v>
      </c>
      <c r="AG330" s="2" t="s">
        <v>86</v>
      </c>
      <c r="AH330" s="2" t="s">
        <v>86</v>
      </c>
      <c r="AI330" s="2" t="s">
        <v>5968</v>
      </c>
      <c r="AJ330" s="2" t="s">
        <v>5969</v>
      </c>
      <c r="AK330" s="2" t="s">
        <v>342</v>
      </c>
      <c r="AL330" s="4">
        <v>2021</v>
      </c>
      <c r="AM330" s="4">
        <v>4</v>
      </c>
      <c r="AN330" s="4">
        <v>6</v>
      </c>
      <c r="AO330" s="2" t="s">
        <v>86</v>
      </c>
      <c r="AP330" s="2" t="s">
        <v>86</v>
      </c>
      <c r="AQ330" s="2" t="s">
        <v>86</v>
      </c>
      <c r="AR330" s="2" t="s">
        <v>86</v>
      </c>
      <c r="AS330" s="4">
        <v>474</v>
      </c>
      <c r="AT330" s="4">
        <v>483</v>
      </c>
      <c r="AU330" s="2" t="s">
        <v>86</v>
      </c>
      <c r="AV330" s="2" t="s">
        <v>86</v>
      </c>
      <c r="AW330" s="2" t="s">
        <v>86</v>
      </c>
      <c r="AX330" s="4">
        <v>10</v>
      </c>
      <c r="AY330" s="2" t="s">
        <v>535</v>
      </c>
      <c r="AZ330" s="2" t="s">
        <v>536</v>
      </c>
      <c r="BA330" s="2" t="s">
        <v>537</v>
      </c>
      <c r="BB330" s="2" t="s">
        <v>5970</v>
      </c>
      <c r="BC330" s="2" t="s">
        <v>86</v>
      </c>
      <c r="BD330" s="2" t="s">
        <v>5971</v>
      </c>
      <c r="BE330" s="2" t="s">
        <v>86</v>
      </c>
      <c r="BF330" s="2" t="s">
        <v>86</v>
      </c>
      <c r="BG330" s="2" t="s">
        <v>95</v>
      </c>
      <c r="BH330" s="2" t="s">
        <v>5972</v>
      </c>
      <c r="BI330" s="2" t="str">
        <f>HYPERLINK("https%3A%2F%2Fwww.webofscience.com%2Fwos%2Fwoscc%2Ffull-record%2FWOS:000663029500005","View Full Record in Web of Science")</f>
        <v>View Full Record in Web of Science</v>
      </c>
    </row>
    <row r="331" spans="1:61" customFormat="1" ht="12.75" x14ac:dyDescent="0.2">
      <c r="A331" s="1">
        <v>328</v>
      </c>
      <c r="B331" s="1" t="s">
        <v>1068</v>
      </c>
      <c r="C331" s="1" t="s">
        <v>5973</v>
      </c>
      <c r="D331" s="2" t="s">
        <v>5974</v>
      </c>
      <c r="E331" s="2" t="s">
        <v>5975</v>
      </c>
      <c r="F331" s="3" t="str">
        <f>HYPERLINK("http://dx.doi.org/10.1016/j.reactfunctpolym.2016.07.001","http://dx.doi.org/10.1016/j.reactfunctpolym.2016.07.001")</f>
        <v>http://dx.doi.org/10.1016/j.reactfunctpolym.2016.07.001</v>
      </c>
      <c r="G331" s="2" t="s">
        <v>200</v>
      </c>
      <c r="H331" s="2" t="s">
        <v>5976</v>
      </c>
      <c r="I331" s="2" t="s">
        <v>5977</v>
      </c>
      <c r="J331" s="2" t="s">
        <v>5978</v>
      </c>
      <c r="K331" s="2" t="s">
        <v>68</v>
      </c>
      <c r="L331" s="2" t="s">
        <v>5979</v>
      </c>
      <c r="M331" s="2" t="s">
        <v>5980</v>
      </c>
      <c r="N331" s="2" t="s">
        <v>5981</v>
      </c>
      <c r="O331" s="2" t="s">
        <v>3149</v>
      </c>
      <c r="P331" s="2" t="s">
        <v>5982</v>
      </c>
      <c r="Q331" s="2" t="s">
        <v>5983</v>
      </c>
      <c r="R331" s="2" t="s">
        <v>5984</v>
      </c>
      <c r="S331" s="2" t="s">
        <v>5985</v>
      </c>
      <c r="T331" s="2" t="s">
        <v>3149</v>
      </c>
      <c r="U331" s="2" t="s">
        <v>5986</v>
      </c>
      <c r="V331" s="2" t="s">
        <v>5987</v>
      </c>
      <c r="W331" s="2" t="s">
        <v>80</v>
      </c>
      <c r="X331" s="4">
        <v>40</v>
      </c>
      <c r="Y331" s="4">
        <v>73</v>
      </c>
      <c r="Z331" s="4">
        <v>73</v>
      </c>
      <c r="AA331" s="4">
        <v>2</v>
      </c>
      <c r="AB331" s="4">
        <v>74</v>
      </c>
      <c r="AC331" s="2" t="s">
        <v>4555</v>
      </c>
      <c r="AD331" s="2" t="s">
        <v>586</v>
      </c>
      <c r="AE331" s="2" t="s">
        <v>4556</v>
      </c>
      <c r="AF331" s="2" t="s">
        <v>5988</v>
      </c>
      <c r="AG331" s="2" t="s">
        <v>5989</v>
      </c>
      <c r="AH331" s="2" t="s">
        <v>86</v>
      </c>
      <c r="AI331" s="2" t="s">
        <v>5990</v>
      </c>
      <c r="AJ331" s="2" t="s">
        <v>5991</v>
      </c>
      <c r="AK331" s="2" t="s">
        <v>440</v>
      </c>
      <c r="AL331" s="4">
        <v>2016</v>
      </c>
      <c r="AM331" s="4">
        <v>106</v>
      </c>
      <c r="AN331" s="2" t="s">
        <v>86</v>
      </c>
      <c r="AO331" s="2" t="s">
        <v>86</v>
      </c>
      <c r="AP331" s="2" t="s">
        <v>86</v>
      </c>
      <c r="AQ331" s="2" t="s">
        <v>86</v>
      </c>
      <c r="AR331" s="2" t="s">
        <v>86</v>
      </c>
      <c r="AS331" s="4">
        <v>1</v>
      </c>
      <c r="AT331" s="4">
        <v>7</v>
      </c>
      <c r="AU331" s="2" t="s">
        <v>86</v>
      </c>
      <c r="AV331" s="2" t="s">
        <v>86</v>
      </c>
      <c r="AW331" s="2" t="s">
        <v>86</v>
      </c>
      <c r="AX331" s="4">
        <v>7</v>
      </c>
      <c r="AY331" s="2" t="s">
        <v>5992</v>
      </c>
      <c r="AZ331" s="2" t="s">
        <v>92</v>
      </c>
      <c r="BA331" s="2" t="s">
        <v>5993</v>
      </c>
      <c r="BB331" s="2" t="s">
        <v>5994</v>
      </c>
      <c r="BC331" s="2" t="s">
        <v>86</v>
      </c>
      <c r="BD331" s="2" t="s">
        <v>86</v>
      </c>
      <c r="BE331" s="2" t="s">
        <v>86</v>
      </c>
      <c r="BF331" s="2" t="s">
        <v>86</v>
      </c>
      <c r="BG331" s="2" t="s">
        <v>95</v>
      </c>
      <c r="BH331" s="2" t="s">
        <v>5995</v>
      </c>
      <c r="BI331" s="2" t="str">
        <f>HYPERLINK("https%3A%2F%2Fwww.webofscience.com%2Fwos%2Fwoscc%2Ffull-record%2FWOS:000382803200001","View Full Record in Web of Science")</f>
        <v>View Full Record in Web of Science</v>
      </c>
    </row>
    <row r="332" spans="1:61" customFormat="1" ht="12.75" x14ac:dyDescent="0.2">
      <c r="A332" s="1">
        <v>329</v>
      </c>
      <c r="B332" s="1" t="s">
        <v>1068</v>
      </c>
      <c r="C332" s="1" t="s">
        <v>5996</v>
      </c>
      <c r="D332" s="2" t="s">
        <v>5997</v>
      </c>
      <c r="E332" s="2" t="s">
        <v>5998</v>
      </c>
      <c r="F332" s="3" t="str">
        <f>HYPERLINK("http://dx.doi.org/10.1063/1.4998604","http://dx.doi.org/10.1063/1.4998604")</f>
        <v>http://dx.doi.org/10.1063/1.4998604</v>
      </c>
      <c r="G332" s="2" t="s">
        <v>61</v>
      </c>
      <c r="H332" s="2" t="s">
        <v>5999</v>
      </c>
      <c r="I332" s="2" t="s">
        <v>6000</v>
      </c>
      <c r="J332" s="2" t="s">
        <v>6001</v>
      </c>
      <c r="K332" s="2" t="s">
        <v>68</v>
      </c>
      <c r="L332" s="2" t="s">
        <v>86</v>
      </c>
      <c r="M332" s="2" t="s">
        <v>6002</v>
      </c>
      <c r="N332" s="2" t="s">
        <v>6003</v>
      </c>
      <c r="O332" s="2" t="s">
        <v>231</v>
      </c>
      <c r="P332" s="2" t="s">
        <v>6004</v>
      </c>
      <c r="Q332" s="2" t="s">
        <v>6005</v>
      </c>
      <c r="R332" s="2" t="s">
        <v>6006</v>
      </c>
      <c r="S332" s="2" t="s">
        <v>6007</v>
      </c>
      <c r="T332" s="2" t="s">
        <v>6008</v>
      </c>
      <c r="U332" s="2" t="s">
        <v>6009</v>
      </c>
      <c r="V332" s="2" t="s">
        <v>6010</v>
      </c>
      <c r="W332" s="2" t="s">
        <v>80</v>
      </c>
      <c r="X332" s="4">
        <v>204</v>
      </c>
      <c r="Y332" s="4">
        <v>59</v>
      </c>
      <c r="Z332" s="4">
        <v>61</v>
      </c>
      <c r="AA332" s="4">
        <v>5</v>
      </c>
      <c r="AB332" s="4">
        <v>98</v>
      </c>
      <c r="AC332" s="2" t="s">
        <v>6011</v>
      </c>
      <c r="AD332" s="2" t="s">
        <v>6012</v>
      </c>
      <c r="AE332" s="2" t="s">
        <v>6013</v>
      </c>
      <c r="AF332" s="2" t="s">
        <v>6014</v>
      </c>
      <c r="AG332" s="2" t="s">
        <v>86</v>
      </c>
      <c r="AH332" s="2" t="s">
        <v>86</v>
      </c>
      <c r="AI332" s="2" t="s">
        <v>6001</v>
      </c>
      <c r="AJ332" s="2" t="s">
        <v>6015</v>
      </c>
      <c r="AK332" s="2" t="s">
        <v>440</v>
      </c>
      <c r="AL332" s="4">
        <v>2017</v>
      </c>
      <c r="AM332" s="4">
        <v>11</v>
      </c>
      <c r="AN332" s="4">
        <v>5</v>
      </c>
      <c r="AO332" s="2" t="s">
        <v>86</v>
      </c>
      <c r="AP332" s="2" t="s">
        <v>86</v>
      </c>
      <c r="AQ332" s="2" t="s">
        <v>86</v>
      </c>
      <c r="AR332" s="2" t="s">
        <v>86</v>
      </c>
      <c r="AS332" s="2" t="s">
        <v>86</v>
      </c>
      <c r="AT332" s="2" t="s">
        <v>86</v>
      </c>
      <c r="AU332" s="4">
        <v>51502</v>
      </c>
      <c r="AV332" s="2" t="s">
        <v>86</v>
      </c>
      <c r="AW332" s="2" t="s">
        <v>86</v>
      </c>
      <c r="AX332" s="4">
        <v>41</v>
      </c>
      <c r="AY332" s="2" t="s">
        <v>6016</v>
      </c>
      <c r="AZ332" s="2" t="s">
        <v>92</v>
      </c>
      <c r="BA332" s="2" t="s">
        <v>6017</v>
      </c>
      <c r="BB332" s="2" t="s">
        <v>6018</v>
      </c>
      <c r="BC332" s="4">
        <v>29152025</v>
      </c>
      <c r="BD332" s="2" t="s">
        <v>877</v>
      </c>
      <c r="BE332" s="2" t="s">
        <v>86</v>
      </c>
      <c r="BF332" s="2" t="s">
        <v>86</v>
      </c>
      <c r="BG332" s="2" t="s">
        <v>95</v>
      </c>
      <c r="BH332" s="2" t="s">
        <v>6019</v>
      </c>
      <c r="BI332" s="2" t="str">
        <f>HYPERLINK("https%3A%2F%2Fwww.webofscience.com%2Fwos%2Fwoscc%2Ffull-record%2FWOS:000413716200003","View Full Record in Web of Science")</f>
        <v>View Full Record in Web of Science</v>
      </c>
    </row>
    <row r="333" spans="1:61" customFormat="1" ht="12.75" x14ac:dyDescent="0.2">
      <c r="A333" s="1">
        <v>330</v>
      </c>
      <c r="B333" s="1" t="s">
        <v>1068</v>
      </c>
      <c r="C333" s="1" t="s">
        <v>6020</v>
      </c>
      <c r="D333" s="2" t="s">
        <v>6021</v>
      </c>
      <c r="E333" s="2" t="s">
        <v>6022</v>
      </c>
      <c r="F333" s="3" t="str">
        <f>HYPERLINK("http://dx.doi.org/10.1016/j.enconman.2017.07.059","http://dx.doi.org/10.1016/j.enconman.2017.07.059")</f>
        <v>http://dx.doi.org/10.1016/j.enconman.2017.07.059</v>
      </c>
      <c r="G333" s="2" t="s">
        <v>200</v>
      </c>
      <c r="H333" s="2" t="s">
        <v>6023</v>
      </c>
      <c r="I333" s="2" t="s">
        <v>6024</v>
      </c>
      <c r="J333" s="2" t="s">
        <v>6025</v>
      </c>
      <c r="K333" s="2" t="s">
        <v>68</v>
      </c>
      <c r="L333" s="2" t="s">
        <v>6026</v>
      </c>
      <c r="M333" s="2" t="s">
        <v>6027</v>
      </c>
      <c r="N333" s="2" t="s">
        <v>6028</v>
      </c>
      <c r="O333" s="2" t="s">
        <v>6029</v>
      </c>
      <c r="P333" s="2" t="s">
        <v>6030</v>
      </c>
      <c r="Q333" s="2" t="s">
        <v>5092</v>
      </c>
      <c r="R333" s="2" t="s">
        <v>6031</v>
      </c>
      <c r="S333" s="2" t="s">
        <v>86</v>
      </c>
      <c r="T333" s="2" t="s">
        <v>6032</v>
      </c>
      <c r="U333" s="2" t="s">
        <v>6033</v>
      </c>
      <c r="V333" s="2" t="s">
        <v>6034</v>
      </c>
      <c r="W333" s="2" t="s">
        <v>80</v>
      </c>
      <c r="X333" s="4">
        <v>62</v>
      </c>
      <c r="Y333" s="4">
        <v>96</v>
      </c>
      <c r="Z333" s="4">
        <v>98</v>
      </c>
      <c r="AA333" s="4">
        <v>10</v>
      </c>
      <c r="AB333" s="4">
        <v>82</v>
      </c>
      <c r="AC333" s="2" t="s">
        <v>237</v>
      </c>
      <c r="AD333" s="2" t="s">
        <v>115</v>
      </c>
      <c r="AE333" s="2" t="s">
        <v>238</v>
      </c>
      <c r="AF333" s="2" t="s">
        <v>6035</v>
      </c>
      <c r="AG333" s="2" t="s">
        <v>6036</v>
      </c>
      <c r="AH333" s="2" t="s">
        <v>86</v>
      </c>
      <c r="AI333" s="2" t="s">
        <v>6037</v>
      </c>
      <c r="AJ333" s="2" t="s">
        <v>6038</v>
      </c>
      <c r="AK333" s="2" t="s">
        <v>849</v>
      </c>
      <c r="AL333" s="4">
        <v>2017</v>
      </c>
      <c r="AM333" s="4">
        <v>149</v>
      </c>
      <c r="AN333" s="2" t="s">
        <v>86</v>
      </c>
      <c r="AO333" s="2" t="s">
        <v>86</v>
      </c>
      <c r="AP333" s="2" t="s">
        <v>86</v>
      </c>
      <c r="AQ333" s="2" t="s">
        <v>86</v>
      </c>
      <c r="AR333" s="2" t="s">
        <v>86</v>
      </c>
      <c r="AS333" s="4">
        <v>675</v>
      </c>
      <c r="AT333" s="4">
        <v>685</v>
      </c>
      <c r="AU333" s="2" t="s">
        <v>86</v>
      </c>
      <c r="AV333" s="2" t="s">
        <v>86</v>
      </c>
      <c r="AW333" s="2" t="s">
        <v>86</v>
      </c>
      <c r="AX333" s="4">
        <v>11</v>
      </c>
      <c r="AY333" s="2" t="s">
        <v>6039</v>
      </c>
      <c r="AZ333" s="2" t="s">
        <v>92</v>
      </c>
      <c r="BA333" s="2" t="s">
        <v>6039</v>
      </c>
      <c r="BB333" s="2" t="s">
        <v>6040</v>
      </c>
      <c r="BC333" s="2" t="s">
        <v>86</v>
      </c>
      <c r="BD333" s="2" t="s">
        <v>86</v>
      </c>
      <c r="BE333" s="2" t="s">
        <v>86</v>
      </c>
      <c r="BF333" s="2" t="s">
        <v>86</v>
      </c>
      <c r="BG333" s="2" t="s">
        <v>95</v>
      </c>
      <c r="BH333" s="2" t="s">
        <v>6041</v>
      </c>
      <c r="BI333" s="2" t="str">
        <f>HYPERLINK("https%3A%2F%2Fwww.webofscience.com%2Fwos%2Fwoscc%2Ffull-record%2FWOS:000411537200056","View Full Record in Web of Science")</f>
        <v>View Full Record in Web of Science</v>
      </c>
    </row>
    <row r="334" spans="1:61" customFormat="1" ht="12.75" x14ac:dyDescent="0.2">
      <c r="A334" s="1">
        <v>331</v>
      </c>
      <c r="B334" s="1" t="s">
        <v>1068</v>
      </c>
      <c r="C334" s="1" t="s">
        <v>6042</v>
      </c>
      <c r="D334" s="2" t="s">
        <v>6043</v>
      </c>
      <c r="E334" s="2" t="s">
        <v>6044</v>
      </c>
      <c r="F334" s="3" t="str">
        <f>HYPERLINK("http://dx.doi.org/10.1111/cote.12666","http://dx.doi.org/10.1111/cote.12666")</f>
        <v>http://dx.doi.org/10.1111/cote.12666</v>
      </c>
      <c r="G334" s="2" t="s">
        <v>200</v>
      </c>
      <c r="H334" s="2" t="s">
        <v>6045</v>
      </c>
      <c r="I334" s="2" t="s">
        <v>6046</v>
      </c>
      <c r="J334" s="2" t="s">
        <v>6047</v>
      </c>
      <c r="K334" s="2" t="s">
        <v>68</v>
      </c>
      <c r="L334" s="2" t="s">
        <v>86</v>
      </c>
      <c r="M334" s="2" t="s">
        <v>6048</v>
      </c>
      <c r="N334" s="2" t="s">
        <v>6049</v>
      </c>
      <c r="O334" s="2" t="s">
        <v>6050</v>
      </c>
      <c r="P334" s="2" t="s">
        <v>6051</v>
      </c>
      <c r="Q334" s="2" t="s">
        <v>6052</v>
      </c>
      <c r="R334" s="2" t="s">
        <v>6053</v>
      </c>
      <c r="S334" s="2" t="s">
        <v>6054</v>
      </c>
      <c r="T334" s="2" t="s">
        <v>6055</v>
      </c>
      <c r="U334" s="2" t="s">
        <v>6056</v>
      </c>
      <c r="V334" s="2" t="s">
        <v>6057</v>
      </c>
      <c r="W334" s="2" t="s">
        <v>80</v>
      </c>
      <c r="X334" s="4">
        <v>40</v>
      </c>
      <c r="Y334" s="4">
        <v>0</v>
      </c>
      <c r="Z334" s="4">
        <v>0</v>
      </c>
      <c r="AA334" s="4">
        <v>5</v>
      </c>
      <c r="AB334" s="4">
        <v>5</v>
      </c>
      <c r="AC334" s="2" t="s">
        <v>956</v>
      </c>
      <c r="AD334" s="2" t="s">
        <v>957</v>
      </c>
      <c r="AE334" s="2" t="s">
        <v>958</v>
      </c>
      <c r="AF334" s="2" t="s">
        <v>6058</v>
      </c>
      <c r="AG334" s="2" t="s">
        <v>6059</v>
      </c>
      <c r="AH334" s="2" t="s">
        <v>86</v>
      </c>
      <c r="AI334" s="2" t="s">
        <v>6060</v>
      </c>
      <c r="AJ334" s="2" t="s">
        <v>6061</v>
      </c>
      <c r="AK334" s="2" t="s">
        <v>636</v>
      </c>
      <c r="AL334" s="4">
        <v>2023</v>
      </c>
      <c r="AM334" s="4">
        <v>139</v>
      </c>
      <c r="AN334" s="4">
        <v>4</v>
      </c>
      <c r="AO334" s="2" t="s">
        <v>86</v>
      </c>
      <c r="AP334" s="2" t="s">
        <v>86</v>
      </c>
      <c r="AQ334" s="2" t="s">
        <v>86</v>
      </c>
      <c r="AR334" s="2" t="s">
        <v>86</v>
      </c>
      <c r="AS334" s="4">
        <v>430</v>
      </c>
      <c r="AT334" s="4">
        <v>440</v>
      </c>
      <c r="AU334" s="2" t="s">
        <v>86</v>
      </c>
      <c r="AV334" s="2" t="s">
        <v>86</v>
      </c>
      <c r="AW334" s="2" t="s">
        <v>391</v>
      </c>
      <c r="AX334" s="4">
        <v>11</v>
      </c>
      <c r="AY334" s="2" t="s">
        <v>6062</v>
      </c>
      <c r="AZ334" s="2" t="s">
        <v>92</v>
      </c>
      <c r="BA334" s="2" t="s">
        <v>6063</v>
      </c>
      <c r="BB334" s="2" t="s">
        <v>6064</v>
      </c>
      <c r="BC334" s="2" t="s">
        <v>86</v>
      </c>
      <c r="BD334" s="2" t="s">
        <v>86</v>
      </c>
      <c r="BE334" s="2" t="s">
        <v>86</v>
      </c>
      <c r="BF334" s="2" t="s">
        <v>86</v>
      </c>
      <c r="BG334" s="2" t="s">
        <v>95</v>
      </c>
      <c r="BH334" s="2" t="s">
        <v>6065</v>
      </c>
      <c r="BI334" s="2" t="str">
        <f>HYPERLINK("https%3A%2F%2Fwww.webofscience.com%2Fwos%2Fwoscc%2Ffull-record%2FWOS:000905209500001","View Full Record in Web of Science")</f>
        <v>View Full Record in Web of Science</v>
      </c>
    </row>
    <row r="335" spans="1:61" customFormat="1" ht="12.75" x14ac:dyDescent="0.2">
      <c r="A335" s="1">
        <v>332</v>
      </c>
      <c r="B335" s="1" t="s">
        <v>1068</v>
      </c>
      <c r="C335" s="1" t="s">
        <v>6066</v>
      </c>
      <c r="D335" s="2" t="s">
        <v>6067</v>
      </c>
      <c r="E335" s="2" t="s">
        <v>6068</v>
      </c>
      <c r="F335" s="3" t="str">
        <f>HYPERLINK("http://dx.doi.org/10.4194/1303-2712-v16_1_04","http://dx.doi.org/10.4194/1303-2712-v16_1_04")</f>
        <v>http://dx.doi.org/10.4194/1303-2712-v16_1_04</v>
      </c>
      <c r="G335" s="2" t="s">
        <v>200</v>
      </c>
      <c r="H335" s="2" t="s">
        <v>6069</v>
      </c>
      <c r="I335" s="2" t="s">
        <v>6070</v>
      </c>
      <c r="J335" s="2" t="s">
        <v>620</v>
      </c>
      <c r="K335" s="2" t="s">
        <v>68</v>
      </c>
      <c r="L335" s="2" t="s">
        <v>6071</v>
      </c>
      <c r="M335" s="2" t="s">
        <v>6072</v>
      </c>
      <c r="N335" s="2" t="s">
        <v>6073</v>
      </c>
      <c r="O335" s="2" t="s">
        <v>6074</v>
      </c>
      <c r="P335" s="2" t="s">
        <v>6075</v>
      </c>
      <c r="Q335" s="2" t="s">
        <v>86</v>
      </c>
      <c r="R335" s="2" t="s">
        <v>6076</v>
      </c>
      <c r="S335" s="2" t="s">
        <v>6077</v>
      </c>
      <c r="T335" s="2" t="s">
        <v>6078</v>
      </c>
      <c r="U335" s="2" t="s">
        <v>6079</v>
      </c>
      <c r="V335" s="2" t="s">
        <v>6080</v>
      </c>
      <c r="W335" s="2" t="s">
        <v>80</v>
      </c>
      <c r="X335" s="4">
        <v>37</v>
      </c>
      <c r="Y335" s="4">
        <v>36</v>
      </c>
      <c r="Z335" s="4">
        <v>38</v>
      </c>
      <c r="AA335" s="4">
        <v>0</v>
      </c>
      <c r="AB335" s="4">
        <v>20</v>
      </c>
      <c r="AC335" s="2" t="s">
        <v>629</v>
      </c>
      <c r="AD335" s="2" t="s">
        <v>630</v>
      </c>
      <c r="AE335" s="2" t="s">
        <v>631</v>
      </c>
      <c r="AF335" s="2" t="s">
        <v>632</v>
      </c>
      <c r="AG335" s="2" t="s">
        <v>633</v>
      </c>
      <c r="AH335" s="2" t="s">
        <v>86</v>
      </c>
      <c r="AI335" s="2" t="s">
        <v>634</v>
      </c>
      <c r="AJ335" s="2" t="s">
        <v>635</v>
      </c>
      <c r="AK335" s="2" t="s">
        <v>366</v>
      </c>
      <c r="AL335" s="4">
        <v>2016</v>
      </c>
      <c r="AM335" s="4">
        <v>16</v>
      </c>
      <c r="AN335" s="4">
        <v>1</v>
      </c>
      <c r="AO335" s="2" t="s">
        <v>86</v>
      </c>
      <c r="AP335" s="2" t="s">
        <v>86</v>
      </c>
      <c r="AQ335" s="2" t="s">
        <v>86</v>
      </c>
      <c r="AR335" s="2" t="s">
        <v>86</v>
      </c>
      <c r="AS335" s="4">
        <v>29</v>
      </c>
      <c r="AT335" s="4">
        <v>39</v>
      </c>
      <c r="AU335" s="2" t="s">
        <v>86</v>
      </c>
      <c r="AV335" s="2" t="s">
        <v>86</v>
      </c>
      <c r="AW335" s="2" t="s">
        <v>86</v>
      </c>
      <c r="AX335" s="4">
        <v>11</v>
      </c>
      <c r="AY335" s="2" t="s">
        <v>319</v>
      </c>
      <c r="AZ335" s="2" t="s">
        <v>92</v>
      </c>
      <c r="BA335" s="2" t="s">
        <v>319</v>
      </c>
      <c r="BB335" s="2" t="s">
        <v>6081</v>
      </c>
      <c r="BC335" s="2" t="s">
        <v>86</v>
      </c>
      <c r="BD335" s="2" t="s">
        <v>1491</v>
      </c>
      <c r="BE335" s="2" t="s">
        <v>86</v>
      </c>
      <c r="BF335" s="2" t="s">
        <v>86</v>
      </c>
      <c r="BG335" s="2" t="s">
        <v>95</v>
      </c>
      <c r="BH335" s="2" t="s">
        <v>6082</v>
      </c>
      <c r="BI335" s="2" t="str">
        <f>HYPERLINK("https%3A%2F%2Fwww.webofscience.com%2Fwos%2Fwoscc%2Ffull-record%2FWOS:000378815400004","View Full Record in Web of Science")</f>
        <v>View Full Record in Web of Science</v>
      </c>
    </row>
    <row r="336" spans="1:61" customFormat="1" ht="12.75" x14ac:dyDescent="0.2">
      <c r="A336" s="1">
        <v>333</v>
      </c>
      <c r="B336" s="1" t="s">
        <v>1068</v>
      </c>
      <c r="C336" s="1" t="s">
        <v>6083</v>
      </c>
      <c r="D336" s="2" t="s">
        <v>6084</v>
      </c>
      <c r="E336" s="2" t="s">
        <v>6085</v>
      </c>
      <c r="F336" s="3" t="str">
        <f>HYPERLINK("http://dx.doi.org/10.1002/pc.20109","http://dx.doi.org/10.1002/pc.20109")</f>
        <v>http://dx.doi.org/10.1002/pc.20109</v>
      </c>
      <c r="G336" s="2" t="s">
        <v>200</v>
      </c>
      <c r="H336" s="2" t="s">
        <v>6086</v>
      </c>
      <c r="I336" s="2" t="s">
        <v>6086</v>
      </c>
      <c r="J336" s="2" t="s">
        <v>4949</v>
      </c>
      <c r="K336" s="2" t="s">
        <v>68</v>
      </c>
      <c r="L336" s="2" t="s">
        <v>86</v>
      </c>
      <c r="M336" s="2" t="s">
        <v>6087</v>
      </c>
      <c r="N336" s="2" t="s">
        <v>6088</v>
      </c>
      <c r="O336" s="2" t="s">
        <v>6089</v>
      </c>
      <c r="P336" s="2" t="s">
        <v>6090</v>
      </c>
      <c r="Q336" s="2" t="s">
        <v>6091</v>
      </c>
      <c r="R336" s="2" t="s">
        <v>6092</v>
      </c>
      <c r="S336" s="2" t="s">
        <v>6093</v>
      </c>
      <c r="T336" s="2" t="s">
        <v>86</v>
      </c>
      <c r="U336" s="2" t="s">
        <v>86</v>
      </c>
      <c r="V336" s="2" t="s">
        <v>86</v>
      </c>
      <c r="W336" s="2" t="s">
        <v>80</v>
      </c>
      <c r="X336" s="4">
        <v>27</v>
      </c>
      <c r="Y336" s="4">
        <v>2</v>
      </c>
      <c r="Z336" s="4">
        <v>2</v>
      </c>
      <c r="AA336" s="4">
        <v>0</v>
      </c>
      <c r="AB336" s="4">
        <v>4</v>
      </c>
      <c r="AC336" s="2" t="s">
        <v>5911</v>
      </c>
      <c r="AD336" s="2" t="s">
        <v>957</v>
      </c>
      <c r="AE336" s="2" t="s">
        <v>958</v>
      </c>
      <c r="AF336" s="2" t="s">
        <v>4960</v>
      </c>
      <c r="AG336" s="2" t="s">
        <v>4961</v>
      </c>
      <c r="AH336" s="2" t="s">
        <v>86</v>
      </c>
      <c r="AI336" s="2" t="s">
        <v>4962</v>
      </c>
      <c r="AJ336" s="2" t="s">
        <v>4963</v>
      </c>
      <c r="AK336" s="2" t="s">
        <v>342</v>
      </c>
      <c r="AL336" s="4">
        <v>2005</v>
      </c>
      <c r="AM336" s="4">
        <v>26</v>
      </c>
      <c r="AN336" s="4">
        <v>3</v>
      </c>
      <c r="AO336" s="2" t="s">
        <v>86</v>
      </c>
      <c r="AP336" s="2" t="s">
        <v>86</v>
      </c>
      <c r="AQ336" s="2" t="s">
        <v>86</v>
      </c>
      <c r="AR336" s="2" t="s">
        <v>86</v>
      </c>
      <c r="AS336" s="4">
        <v>352</v>
      </c>
      <c r="AT336" s="4">
        <v>360</v>
      </c>
      <c r="AU336" s="2" t="s">
        <v>86</v>
      </c>
      <c r="AV336" s="2" t="s">
        <v>86</v>
      </c>
      <c r="AW336" s="2" t="s">
        <v>86</v>
      </c>
      <c r="AX336" s="4">
        <v>9</v>
      </c>
      <c r="AY336" s="2" t="s">
        <v>4964</v>
      </c>
      <c r="AZ336" s="2" t="s">
        <v>92</v>
      </c>
      <c r="BA336" s="2" t="s">
        <v>4304</v>
      </c>
      <c r="BB336" s="2" t="s">
        <v>6094</v>
      </c>
      <c r="BC336" s="2" t="s">
        <v>86</v>
      </c>
      <c r="BD336" s="2" t="s">
        <v>86</v>
      </c>
      <c r="BE336" s="2" t="s">
        <v>86</v>
      </c>
      <c r="BF336" s="2" t="s">
        <v>86</v>
      </c>
      <c r="BG336" s="2" t="s">
        <v>95</v>
      </c>
      <c r="BH336" s="2" t="s">
        <v>6095</v>
      </c>
      <c r="BI336" s="2" t="str">
        <f>HYPERLINK("https%3A%2F%2Fwww.webofscience.com%2Fwos%2Fwoscc%2Ffull-record%2FWOS:000230251100012","View Full Record in Web of Science")</f>
        <v>View Full Record in Web of Science</v>
      </c>
    </row>
    <row r="337" spans="1:61" customFormat="1" ht="12.75" x14ac:dyDescent="0.2">
      <c r="A337" s="1">
        <v>334</v>
      </c>
      <c r="B337" s="1" t="s">
        <v>1068</v>
      </c>
      <c r="C337" s="1" t="s">
        <v>6096</v>
      </c>
      <c r="D337" s="2" t="s">
        <v>6097</v>
      </c>
      <c r="E337" s="2" t="s">
        <v>86</v>
      </c>
      <c r="F337" s="2" t="s">
        <v>86</v>
      </c>
      <c r="G337" s="2" t="s">
        <v>200</v>
      </c>
      <c r="H337" s="2" t="s">
        <v>6098</v>
      </c>
      <c r="I337" s="2" t="s">
        <v>6099</v>
      </c>
      <c r="J337" s="2" t="s">
        <v>6100</v>
      </c>
      <c r="K337" s="2" t="s">
        <v>68</v>
      </c>
      <c r="L337" s="2" t="s">
        <v>6101</v>
      </c>
      <c r="M337" s="2" t="s">
        <v>6102</v>
      </c>
      <c r="N337" s="2" t="s">
        <v>6103</v>
      </c>
      <c r="O337" s="2" t="s">
        <v>6104</v>
      </c>
      <c r="P337" s="2" t="s">
        <v>6105</v>
      </c>
      <c r="Q337" s="2" t="s">
        <v>6106</v>
      </c>
      <c r="R337" s="2" t="s">
        <v>6107</v>
      </c>
      <c r="S337" s="2" t="s">
        <v>86</v>
      </c>
      <c r="T337" s="2" t="s">
        <v>86</v>
      </c>
      <c r="U337" s="2" t="s">
        <v>86</v>
      </c>
      <c r="V337" s="2" t="s">
        <v>86</v>
      </c>
      <c r="W337" s="2" t="s">
        <v>80</v>
      </c>
      <c r="X337" s="4">
        <v>22</v>
      </c>
      <c r="Y337" s="4">
        <v>13</v>
      </c>
      <c r="Z337" s="4">
        <v>13</v>
      </c>
      <c r="AA337" s="4">
        <v>0</v>
      </c>
      <c r="AB337" s="4">
        <v>0</v>
      </c>
      <c r="AC337" s="2" t="s">
        <v>6108</v>
      </c>
      <c r="AD337" s="2" t="s">
        <v>932</v>
      </c>
      <c r="AE337" s="2" t="s">
        <v>6109</v>
      </c>
      <c r="AF337" s="2" t="s">
        <v>6110</v>
      </c>
      <c r="AG337" s="2" t="s">
        <v>86</v>
      </c>
      <c r="AH337" s="2" t="s">
        <v>86</v>
      </c>
      <c r="AI337" s="2" t="s">
        <v>6111</v>
      </c>
      <c r="AJ337" s="2" t="s">
        <v>6112</v>
      </c>
      <c r="AK337" s="2" t="s">
        <v>86</v>
      </c>
      <c r="AL337" s="4">
        <v>2007</v>
      </c>
      <c r="AM337" s="4">
        <v>31</v>
      </c>
      <c r="AN337" s="4">
        <v>1</v>
      </c>
      <c r="AO337" s="2" t="s">
        <v>86</v>
      </c>
      <c r="AP337" s="2" t="s">
        <v>86</v>
      </c>
      <c r="AQ337" s="2" t="s">
        <v>86</v>
      </c>
      <c r="AR337" s="2" t="s">
        <v>86</v>
      </c>
      <c r="AS337" s="4">
        <v>47</v>
      </c>
      <c r="AT337" s="4">
        <v>53</v>
      </c>
      <c r="AU337" s="2" t="s">
        <v>86</v>
      </c>
      <c r="AV337" s="2" t="s">
        <v>86</v>
      </c>
      <c r="AW337" s="2" t="s">
        <v>86</v>
      </c>
      <c r="AX337" s="4">
        <v>7</v>
      </c>
      <c r="AY337" s="2" t="s">
        <v>6113</v>
      </c>
      <c r="AZ337" s="2" t="s">
        <v>92</v>
      </c>
      <c r="BA337" s="2" t="s">
        <v>6114</v>
      </c>
      <c r="BB337" s="2" t="s">
        <v>6115</v>
      </c>
      <c r="BC337" s="2" t="s">
        <v>86</v>
      </c>
      <c r="BD337" s="2" t="s">
        <v>86</v>
      </c>
      <c r="BE337" s="2" t="s">
        <v>86</v>
      </c>
      <c r="BF337" s="2" t="s">
        <v>86</v>
      </c>
      <c r="BG337" s="2" t="s">
        <v>95</v>
      </c>
      <c r="BH337" s="2" t="s">
        <v>6116</v>
      </c>
      <c r="BI337" s="2" t="str">
        <f>HYPERLINK("https%3A%2F%2Fwww.webofscience.com%2Fwos%2Fwoscc%2Ffull-record%2FWOS:000247070200006","View Full Record in Web of Science")</f>
        <v>View Full Record in Web of Science</v>
      </c>
    </row>
    <row r="338" spans="1:61" customFormat="1" ht="12.75" x14ac:dyDescent="0.2">
      <c r="A338" s="1">
        <v>335</v>
      </c>
      <c r="B338" s="1" t="s">
        <v>1068</v>
      </c>
      <c r="C338" s="1" t="s">
        <v>6117</v>
      </c>
      <c r="D338" s="2" t="s">
        <v>6118</v>
      </c>
      <c r="E338" s="2" t="s">
        <v>86</v>
      </c>
      <c r="F338" s="2" t="s">
        <v>86</v>
      </c>
      <c r="G338" s="2" t="s">
        <v>200</v>
      </c>
      <c r="H338" s="2" t="s">
        <v>6119</v>
      </c>
      <c r="I338" s="2" t="s">
        <v>6120</v>
      </c>
      <c r="J338" s="2" t="s">
        <v>1918</v>
      </c>
      <c r="K338" s="2" t="s">
        <v>68</v>
      </c>
      <c r="L338" s="2" t="s">
        <v>6121</v>
      </c>
      <c r="M338" s="2" t="s">
        <v>6122</v>
      </c>
      <c r="N338" s="2" t="s">
        <v>6123</v>
      </c>
      <c r="O338" s="2" t="s">
        <v>1192</v>
      </c>
      <c r="P338" s="2" t="s">
        <v>6124</v>
      </c>
      <c r="Q338" s="2" t="s">
        <v>6125</v>
      </c>
      <c r="R338" s="2" t="s">
        <v>86</v>
      </c>
      <c r="S338" s="2" t="s">
        <v>86</v>
      </c>
      <c r="T338" s="2" t="s">
        <v>6126</v>
      </c>
      <c r="U338" s="2" t="s">
        <v>6127</v>
      </c>
      <c r="V338" s="2" t="s">
        <v>6128</v>
      </c>
      <c r="W338" s="2" t="s">
        <v>80</v>
      </c>
      <c r="X338" s="4">
        <v>34</v>
      </c>
      <c r="Y338" s="4">
        <v>0</v>
      </c>
      <c r="Z338" s="4">
        <v>0</v>
      </c>
      <c r="AA338" s="4">
        <v>1</v>
      </c>
      <c r="AB338" s="4">
        <v>1</v>
      </c>
      <c r="AC338" s="2" t="s">
        <v>1927</v>
      </c>
      <c r="AD338" s="2" t="s">
        <v>1928</v>
      </c>
      <c r="AE338" s="2" t="s">
        <v>1929</v>
      </c>
      <c r="AF338" s="2" t="s">
        <v>1930</v>
      </c>
      <c r="AG338" s="2" t="s">
        <v>1931</v>
      </c>
      <c r="AH338" s="2" t="s">
        <v>86</v>
      </c>
      <c r="AI338" s="2" t="s">
        <v>1932</v>
      </c>
      <c r="AJ338" s="2" t="s">
        <v>1933</v>
      </c>
      <c r="AK338" s="2" t="s">
        <v>86</v>
      </c>
      <c r="AL338" s="4">
        <v>2022</v>
      </c>
      <c r="AM338" s="4">
        <v>31</v>
      </c>
      <c r="AN338" s="2" t="s">
        <v>6129</v>
      </c>
      <c r="AO338" s="2" t="s">
        <v>86</v>
      </c>
      <c r="AP338" s="2" t="s">
        <v>86</v>
      </c>
      <c r="AQ338" s="2" t="s">
        <v>86</v>
      </c>
      <c r="AR338" s="2" t="s">
        <v>86</v>
      </c>
      <c r="AS338" s="4">
        <v>9220</v>
      </c>
      <c r="AT338" s="4">
        <v>9230</v>
      </c>
      <c r="AU338" s="2" t="s">
        <v>86</v>
      </c>
      <c r="AV338" s="2" t="s">
        <v>86</v>
      </c>
      <c r="AW338" s="2" t="s">
        <v>86</v>
      </c>
      <c r="AX338" s="4">
        <v>11</v>
      </c>
      <c r="AY338" s="2" t="s">
        <v>91</v>
      </c>
      <c r="AZ338" s="2" t="s">
        <v>92</v>
      </c>
      <c r="BA338" s="2" t="s">
        <v>93</v>
      </c>
      <c r="BB338" s="2" t="s">
        <v>6130</v>
      </c>
      <c r="BC338" s="2" t="s">
        <v>86</v>
      </c>
      <c r="BD338" s="2" t="s">
        <v>86</v>
      </c>
      <c r="BE338" s="2" t="s">
        <v>86</v>
      </c>
      <c r="BF338" s="2" t="s">
        <v>86</v>
      </c>
      <c r="BG338" s="2" t="s">
        <v>95</v>
      </c>
      <c r="BH338" s="2" t="s">
        <v>6131</v>
      </c>
      <c r="BI338" s="2" t="str">
        <f>HYPERLINK("https%3A%2F%2Fwww.webofscience.com%2Fwos%2Fwoscc%2Ffull-record%2FWOS:000850209000070","View Full Record in Web of Science")</f>
        <v>View Full Record in Web of Science</v>
      </c>
    </row>
    <row r="339" spans="1:61" customFormat="1" ht="12.75" x14ac:dyDescent="0.2">
      <c r="A339" s="1">
        <v>336</v>
      </c>
      <c r="B339" s="1" t="s">
        <v>1068</v>
      </c>
      <c r="C339" s="1" t="s">
        <v>6132</v>
      </c>
      <c r="D339" s="2" t="s">
        <v>6133</v>
      </c>
      <c r="E339" s="2" t="s">
        <v>6134</v>
      </c>
      <c r="F339" s="3" t="str">
        <f>HYPERLINK("http://dx.doi.org/10.1002/pc.22725","http://dx.doi.org/10.1002/pc.22725")</f>
        <v>http://dx.doi.org/10.1002/pc.22725</v>
      </c>
      <c r="G339" s="2" t="s">
        <v>200</v>
      </c>
      <c r="H339" s="2" t="s">
        <v>6135</v>
      </c>
      <c r="I339" s="2" t="s">
        <v>6136</v>
      </c>
      <c r="J339" s="2" t="s">
        <v>4949</v>
      </c>
      <c r="K339" s="2" t="s">
        <v>68</v>
      </c>
      <c r="L339" s="2" t="s">
        <v>86</v>
      </c>
      <c r="M339" s="2" t="s">
        <v>6137</v>
      </c>
      <c r="N339" s="2" t="s">
        <v>6138</v>
      </c>
      <c r="O339" s="2" t="s">
        <v>6139</v>
      </c>
      <c r="P339" s="2" t="s">
        <v>6140</v>
      </c>
      <c r="Q339" s="2" t="s">
        <v>6141</v>
      </c>
      <c r="R339" s="2" t="s">
        <v>6142</v>
      </c>
      <c r="S339" s="2" t="s">
        <v>6143</v>
      </c>
      <c r="T339" s="2" t="s">
        <v>86</v>
      </c>
      <c r="U339" s="2" t="s">
        <v>86</v>
      </c>
      <c r="V339" s="2" t="s">
        <v>86</v>
      </c>
      <c r="W339" s="2" t="s">
        <v>80</v>
      </c>
      <c r="X339" s="4">
        <v>32</v>
      </c>
      <c r="Y339" s="4">
        <v>4</v>
      </c>
      <c r="Z339" s="4">
        <v>4</v>
      </c>
      <c r="AA339" s="4">
        <v>0</v>
      </c>
      <c r="AB339" s="4">
        <v>53</v>
      </c>
      <c r="AC339" s="2" t="s">
        <v>5911</v>
      </c>
      <c r="AD339" s="2" t="s">
        <v>957</v>
      </c>
      <c r="AE339" s="2" t="s">
        <v>958</v>
      </c>
      <c r="AF339" s="2" t="s">
        <v>4960</v>
      </c>
      <c r="AG339" s="2" t="s">
        <v>4961</v>
      </c>
      <c r="AH339" s="2" t="s">
        <v>86</v>
      </c>
      <c r="AI339" s="2" t="s">
        <v>4962</v>
      </c>
      <c r="AJ339" s="2" t="s">
        <v>4963</v>
      </c>
      <c r="AK339" s="2" t="s">
        <v>1220</v>
      </c>
      <c r="AL339" s="4">
        <v>2014</v>
      </c>
      <c r="AM339" s="4">
        <v>35</v>
      </c>
      <c r="AN339" s="4">
        <v>5</v>
      </c>
      <c r="AO339" s="2" t="s">
        <v>86</v>
      </c>
      <c r="AP339" s="2" t="s">
        <v>86</v>
      </c>
      <c r="AQ339" s="2" t="s">
        <v>86</v>
      </c>
      <c r="AR339" s="2" t="s">
        <v>86</v>
      </c>
      <c r="AS339" s="4">
        <v>817</v>
      </c>
      <c r="AT339" s="4">
        <v>826</v>
      </c>
      <c r="AU339" s="2" t="s">
        <v>86</v>
      </c>
      <c r="AV339" s="2" t="s">
        <v>86</v>
      </c>
      <c r="AW339" s="2" t="s">
        <v>86</v>
      </c>
      <c r="AX339" s="4">
        <v>10</v>
      </c>
      <c r="AY339" s="2" t="s">
        <v>4964</v>
      </c>
      <c r="AZ339" s="2" t="s">
        <v>92</v>
      </c>
      <c r="BA339" s="2" t="s">
        <v>4304</v>
      </c>
      <c r="BB339" s="2" t="s">
        <v>6144</v>
      </c>
      <c r="BC339" s="2" t="s">
        <v>86</v>
      </c>
      <c r="BD339" s="2" t="s">
        <v>86</v>
      </c>
      <c r="BE339" s="2" t="s">
        <v>86</v>
      </c>
      <c r="BF339" s="2" t="s">
        <v>86</v>
      </c>
      <c r="BG339" s="2" t="s">
        <v>95</v>
      </c>
      <c r="BH339" s="2" t="s">
        <v>6145</v>
      </c>
      <c r="BI339" s="2" t="str">
        <f>HYPERLINK("https%3A%2F%2Fwww.webofscience.com%2Fwos%2Fwoscc%2Ffull-record%2FWOS:000333996100001","View Full Record in Web of Science")</f>
        <v>View Full Record in Web of Science</v>
      </c>
    </row>
    <row r="340" spans="1:61" customFormat="1" ht="12.75" x14ac:dyDescent="0.2">
      <c r="A340" s="1">
        <v>337</v>
      </c>
      <c r="B340" s="1" t="s">
        <v>1068</v>
      </c>
      <c r="C340" s="1" t="s">
        <v>6146</v>
      </c>
      <c r="D340" s="2" t="s">
        <v>6147</v>
      </c>
      <c r="E340" s="2" t="s">
        <v>6148</v>
      </c>
      <c r="F340" s="3" t="str">
        <f>HYPERLINK("http://dx.doi.org/10.12714/egejfas.38.3.12","http://dx.doi.org/10.12714/egejfas.38.3.12")</f>
        <v>http://dx.doi.org/10.12714/egejfas.38.3.12</v>
      </c>
      <c r="G340" s="2" t="s">
        <v>200</v>
      </c>
      <c r="H340" s="2" t="s">
        <v>6149</v>
      </c>
      <c r="I340" s="2" t="s">
        <v>6150</v>
      </c>
      <c r="J340" s="2" t="s">
        <v>304</v>
      </c>
      <c r="K340" s="2" t="s">
        <v>68</v>
      </c>
      <c r="L340" s="2" t="s">
        <v>6151</v>
      </c>
      <c r="M340" s="2" t="s">
        <v>6152</v>
      </c>
      <c r="N340" s="2" t="s">
        <v>6153</v>
      </c>
      <c r="O340" s="2" t="s">
        <v>2158</v>
      </c>
      <c r="P340" s="2" t="s">
        <v>6154</v>
      </c>
      <c r="Q340" s="2" t="s">
        <v>6155</v>
      </c>
      <c r="R340" s="2" t="s">
        <v>6156</v>
      </c>
      <c r="S340" s="2" t="s">
        <v>6157</v>
      </c>
      <c r="T340" s="2" t="s">
        <v>6158</v>
      </c>
      <c r="U340" s="2" t="s">
        <v>1178</v>
      </c>
      <c r="V340" s="2" t="s">
        <v>6159</v>
      </c>
      <c r="W340" s="2" t="s">
        <v>80</v>
      </c>
      <c r="X340" s="4">
        <v>51</v>
      </c>
      <c r="Y340" s="4">
        <v>0</v>
      </c>
      <c r="Z340" s="4">
        <v>0</v>
      </c>
      <c r="AA340" s="4">
        <v>1</v>
      </c>
      <c r="AB340" s="4">
        <v>3</v>
      </c>
      <c r="AC340" s="2" t="s">
        <v>313</v>
      </c>
      <c r="AD340" s="2" t="s">
        <v>314</v>
      </c>
      <c r="AE340" s="2" t="s">
        <v>315</v>
      </c>
      <c r="AF340" s="2" t="s">
        <v>316</v>
      </c>
      <c r="AG340" s="2" t="s">
        <v>317</v>
      </c>
      <c r="AH340" s="2" t="s">
        <v>86</v>
      </c>
      <c r="AI340" s="2" t="s">
        <v>304</v>
      </c>
      <c r="AJ340" s="2" t="s">
        <v>318</v>
      </c>
      <c r="AK340" s="2" t="s">
        <v>86</v>
      </c>
      <c r="AL340" s="4">
        <v>2021</v>
      </c>
      <c r="AM340" s="4">
        <v>38</v>
      </c>
      <c r="AN340" s="4">
        <v>3</v>
      </c>
      <c r="AO340" s="2" t="s">
        <v>86</v>
      </c>
      <c r="AP340" s="2" t="s">
        <v>86</v>
      </c>
      <c r="AQ340" s="2" t="s">
        <v>86</v>
      </c>
      <c r="AR340" s="2" t="s">
        <v>86</v>
      </c>
      <c r="AS340" s="4">
        <v>355</v>
      </c>
      <c r="AT340" s="4">
        <v>364</v>
      </c>
      <c r="AU340" s="2" t="s">
        <v>86</v>
      </c>
      <c r="AV340" s="2" t="s">
        <v>86</v>
      </c>
      <c r="AW340" s="2" t="s">
        <v>86</v>
      </c>
      <c r="AX340" s="4">
        <v>10</v>
      </c>
      <c r="AY340" s="2" t="s">
        <v>319</v>
      </c>
      <c r="AZ340" s="2" t="s">
        <v>171</v>
      </c>
      <c r="BA340" s="2" t="s">
        <v>319</v>
      </c>
      <c r="BB340" s="2" t="s">
        <v>6160</v>
      </c>
      <c r="BC340" s="2" t="s">
        <v>86</v>
      </c>
      <c r="BD340" s="2" t="s">
        <v>321</v>
      </c>
      <c r="BE340" s="2" t="s">
        <v>86</v>
      </c>
      <c r="BF340" s="2" t="s">
        <v>86</v>
      </c>
      <c r="BG340" s="2" t="s">
        <v>95</v>
      </c>
      <c r="BH340" s="2" t="s">
        <v>6161</v>
      </c>
      <c r="BI340" s="2" t="str">
        <f>HYPERLINK("https%3A%2F%2Fwww.webofscience.com%2Fwos%2Fwoscc%2Ffull-record%2FWOS:000745062300012","View Full Record in Web of Science")</f>
        <v>View Full Record in Web of Science</v>
      </c>
    </row>
    <row r="341" spans="1:61" customFormat="1" ht="12.75" x14ac:dyDescent="0.2">
      <c r="A341" s="1">
        <v>338</v>
      </c>
      <c r="B341" s="1" t="s">
        <v>1068</v>
      </c>
      <c r="C341" s="1" t="s">
        <v>6162</v>
      </c>
      <c r="D341" s="2" t="s">
        <v>6163</v>
      </c>
      <c r="E341" s="2" t="s">
        <v>86</v>
      </c>
      <c r="F341" s="2" t="s">
        <v>86</v>
      </c>
      <c r="G341" s="2" t="s">
        <v>200</v>
      </c>
      <c r="H341" s="2" t="s">
        <v>6164</v>
      </c>
      <c r="I341" s="2" t="s">
        <v>6165</v>
      </c>
      <c r="J341" s="2" t="s">
        <v>6166</v>
      </c>
      <c r="K341" s="2" t="s">
        <v>68</v>
      </c>
      <c r="L341" s="2" t="s">
        <v>6167</v>
      </c>
      <c r="M341" s="2" t="s">
        <v>86</v>
      </c>
      <c r="N341" s="2" t="s">
        <v>6168</v>
      </c>
      <c r="O341" s="2" t="s">
        <v>6169</v>
      </c>
      <c r="P341" s="2" t="s">
        <v>6170</v>
      </c>
      <c r="Q341" s="2" t="s">
        <v>6171</v>
      </c>
      <c r="R341" s="2" t="s">
        <v>6172</v>
      </c>
      <c r="S341" s="2" t="s">
        <v>6173</v>
      </c>
      <c r="T341" s="2" t="s">
        <v>86</v>
      </c>
      <c r="U341" s="2" t="s">
        <v>86</v>
      </c>
      <c r="V341" s="2" t="s">
        <v>86</v>
      </c>
      <c r="W341" s="2" t="s">
        <v>80</v>
      </c>
      <c r="X341" s="4">
        <v>35</v>
      </c>
      <c r="Y341" s="4">
        <v>10</v>
      </c>
      <c r="Z341" s="4">
        <v>10</v>
      </c>
      <c r="AA341" s="4">
        <v>0</v>
      </c>
      <c r="AB341" s="4">
        <v>7</v>
      </c>
      <c r="AC341" s="2" t="s">
        <v>6174</v>
      </c>
      <c r="AD341" s="2" t="s">
        <v>6175</v>
      </c>
      <c r="AE341" s="2" t="s">
        <v>6176</v>
      </c>
      <c r="AF341" s="2" t="s">
        <v>6177</v>
      </c>
      <c r="AG341" s="2" t="s">
        <v>86</v>
      </c>
      <c r="AH341" s="2" t="s">
        <v>86</v>
      </c>
      <c r="AI341" s="2" t="s">
        <v>6178</v>
      </c>
      <c r="AJ341" s="2" t="s">
        <v>6179</v>
      </c>
      <c r="AK341" s="2" t="s">
        <v>1458</v>
      </c>
      <c r="AL341" s="4">
        <v>2020</v>
      </c>
      <c r="AM341" s="4">
        <v>35</v>
      </c>
      <c r="AN341" s="4">
        <v>4</v>
      </c>
      <c r="AO341" s="2" t="s">
        <v>86</v>
      </c>
      <c r="AP341" s="2" t="s">
        <v>86</v>
      </c>
      <c r="AQ341" s="2" t="s">
        <v>86</v>
      </c>
      <c r="AR341" s="2" t="s">
        <v>86</v>
      </c>
      <c r="AS341" s="4">
        <v>283</v>
      </c>
      <c r="AT341" s="4">
        <v>292</v>
      </c>
      <c r="AU341" s="2" t="s">
        <v>86</v>
      </c>
      <c r="AV341" s="2" t="s">
        <v>86</v>
      </c>
      <c r="AW341" s="2" t="s">
        <v>86</v>
      </c>
      <c r="AX341" s="4">
        <v>10</v>
      </c>
      <c r="AY341" s="2" t="s">
        <v>6180</v>
      </c>
      <c r="AZ341" s="2" t="s">
        <v>92</v>
      </c>
      <c r="BA341" s="2" t="s">
        <v>5622</v>
      </c>
      <c r="BB341" s="2" t="s">
        <v>6181</v>
      </c>
      <c r="BC341" s="2" t="s">
        <v>86</v>
      </c>
      <c r="BD341" s="2" t="s">
        <v>86</v>
      </c>
      <c r="BE341" s="2" t="s">
        <v>86</v>
      </c>
      <c r="BF341" s="2" t="s">
        <v>86</v>
      </c>
      <c r="BG341" s="2" t="s">
        <v>95</v>
      </c>
      <c r="BH341" s="2" t="s">
        <v>6182</v>
      </c>
      <c r="BI341" s="2" t="str">
        <f>HYPERLINK("https%3A%2F%2Fwww.webofscience.com%2Fwos%2Fwoscc%2Ffull-record%2FWOS:000543517500005","View Full Record in Web of Science")</f>
        <v>View Full Record in Web of Science</v>
      </c>
    </row>
    <row r="342" spans="1:61" customFormat="1" ht="12.75" x14ac:dyDescent="0.2">
      <c r="A342" s="1">
        <v>339</v>
      </c>
      <c r="B342" s="1" t="s">
        <v>1068</v>
      </c>
      <c r="C342" s="1" t="s">
        <v>6183</v>
      </c>
      <c r="D342" s="2" t="s">
        <v>6184</v>
      </c>
      <c r="E342" s="2" t="s">
        <v>6185</v>
      </c>
      <c r="F342" s="3" t="str">
        <f>HYPERLINK("http://dx.doi.org/10.5505/tjtes.2017.93462","http://dx.doi.org/10.5505/tjtes.2017.93462")</f>
        <v>http://dx.doi.org/10.5505/tjtes.2017.93462</v>
      </c>
      <c r="G342" s="2" t="s">
        <v>200</v>
      </c>
      <c r="H342" s="2" t="s">
        <v>6186</v>
      </c>
      <c r="I342" s="2" t="s">
        <v>6187</v>
      </c>
      <c r="J342" s="2" t="s">
        <v>6188</v>
      </c>
      <c r="K342" s="2" t="s">
        <v>68</v>
      </c>
      <c r="L342" s="2" t="s">
        <v>6189</v>
      </c>
      <c r="M342" s="2" t="s">
        <v>6190</v>
      </c>
      <c r="N342" s="2" t="s">
        <v>6191</v>
      </c>
      <c r="O342" s="2" t="s">
        <v>6192</v>
      </c>
      <c r="P342" s="2" t="s">
        <v>6193</v>
      </c>
      <c r="Q342" s="2" t="s">
        <v>6194</v>
      </c>
      <c r="R342" s="2" t="s">
        <v>6195</v>
      </c>
      <c r="S342" s="2" t="s">
        <v>6196</v>
      </c>
      <c r="T342" s="2" t="s">
        <v>86</v>
      </c>
      <c r="U342" s="2" t="s">
        <v>86</v>
      </c>
      <c r="V342" s="2" t="s">
        <v>86</v>
      </c>
      <c r="W342" s="2" t="s">
        <v>80</v>
      </c>
      <c r="X342" s="4">
        <v>12</v>
      </c>
      <c r="Y342" s="4">
        <v>4</v>
      </c>
      <c r="Z342" s="4">
        <v>4</v>
      </c>
      <c r="AA342" s="4">
        <v>0</v>
      </c>
      <c r="AB342" s="4">
        <v>1</v>
      </c>
      <c r="AC342" s="2" t="s">
        <v>6197</v>
      </c>
      <c r="AD342" s="2" t="s">
        <v>165</v>
      </c>
      <c r="AE342" s="2" t="s">
        <v>6198</v>
      </c>
      <c r="AF342" s="2" t="s">
        <v>6199</v>
      </c>
      <c r="AG342" s="2" t="s">
        <v>86</v>
      </c>
      <c r="AH342" s="2" t="s">
        <v>86</v>
      </c>
      <c r="AI342" s="2" t="s">
        <v>6200</v>
      </c>
      <c r="AJ342" s="2" t="s">
        <v>6201</v>
      </c>
      <c r="AK342" s="2" t="s">
        <v>1458</v>
      </c>
      <c r="AL342" s="4">
        <v>2017</v>
      </c>
      <c r="AM342" s="4">
        <v>23</v>
      </c>
      <c r="AN342" s="4">
        <v>4</v>
      </c>
      <c r="AO342" s="2" t="s">
        <v>86</v>
      </c>
      <c r="AP342" s="2" t="s">
        <v>86</v>
      </c>
      <c r="AQ342" s="2" t="s">
        <v>86</v>
      </c>
      <c r="AR342" s="2" t="s">
        <v>86</v>
      </c>
      <c r="AS342" s="4">
        <v>354</v>
      </c>
      <c r="AT342" s="4">
        <v>356</v>
      </c>
      <c r="AU342" s="2" t="s">
        <v>86</v>
      </c>
      <c r="AV342" s="2" t="s">
        <v>86</v>
      </c>
      <c r="AW342" s="2" t="s">
        <v>86</v>
      </c>
      <c r="AX342" s="4">
        <v>3</v>
      </c>
      <c r="AY342" s="2" t="s">
        <v>938</v>
      </c>
      <c r="AZ342" s="2" t="s">
        <v>92</v>
      </c>
      <c r="BA342" s="2" t="s">
        <v>938</v>
      </c>
      <c r="BB342" s="2" t="s">
        <v>6202</v>
      </c>
      <c r="BC342" s="4">
        <v>28762460</v>
      </c>
      <c r="BD342" s="2" t="s">
        <v>86</v>
      </c>
      <c r="BE342" s="2" t="s">
        <v>86</v>
      </c>
      <c r="BF342" s="2" t="s">
        <v>86</v>
      </c>
      <c r="BG342" s="2" t="s">
        <v>95</v>
      </c>
      <c r="BH342" s="2" t="s">
        <v>6203</v>
      </c>
      <c r="BI342" s="2" t="str">
        <f>HYPERLINK("https%3A%2F%2Fwww.webofscience.com%2Fwos%2Fwoscc%2Ffull-record%2FWOS:000407527600015","View Full Record in Web of Science")</f>
        <v>View Full Record in Web of Science</v>
      </c>
    </row>
    <row r="343" spans="1:61" customFormat="1" ht="12.75" x14ac:dyDescent="0.2">
      <c r="A343" s="1">
        <v>340</v>
      </c>
      <c r="B343" s="1" t="s">
        <v>1068</v>
      </c>
      <c r="C343" s="1" t="s">
        <v>6204</v>
      </c>
      <c r="D343" s="2" t="s">
        <v>6205</v>
      </c>
      <c r="E343" s="2" t="s">
        <v>86</v>
      </c>
      <c r="F343" s="2" t="s">
        <v>86</v>
      </c>
      <c r="G343" s="2" t="s">
        <v>200</v>
      </c>
      <c r="H343" s="2" t="s">
        <v>6206</v>
      </c>
      <c r="I343" s="2" t="s">
        <v>6206</v>
      </c>
      <c r="J343" s="2" t="s">
        <v>6207</v>
      </c>
      <c r="K343" s="2" t="s">
        <v>68</v>
      </c>
      <c r="L343" s="2" t="s">
        <v>6208</v>
      </c>
      <c r="M343" s="2" t="s">
        <v>86</v>
      </c>
      <c r="N343" s="2" t="s">
        <v>86</v>
      </c>
      <c r="O343" s="2" t="s">
        <v>86</v>
      </c>
      <c r="P343" s="2" t="s">
        <v>6209</v>
      </c>
      <c r="Q343" s="2" t="s">
        <v>86</v>
      </c>
      <c r="R343" s="2" t="s">
        <v>6210</v>
      </c>
      <c r="S343" s="2" t="s">
        <v>6211</v>
      </c>
      <c r="T343" s="2" t="s">
        <v>86</v>
      </c>
      <c r="U343" s="2" t="s">
        <v>86</v>
      </c>
      <c r="V343" s="2" t="s">
        <v>86</v>
      </c>
      <c r="W343" s="2" t="s">
        <v>80</v>
      </c>
      <c r="X343" s="4">
        <v>5</v>
      </c>
      <c r="Y343" s="4">
        <v>10</v>
      </c>
      <c r="Z343" s="4">
        <v>10</v>
      </c>
      <c r="AA343" s="4">
        <v>0</v>
      </c>
      <c r="AB343" s="4">
        <v>0</v>
      </c>
      <c r="AC343" s="2" t="s">
        <v>6212</v>
      </c>
      <c r="AD343" s="2" t="s">
        <v>6213</v>
      </c>
      <c r="AE343" s="2" t="s">
        <v>6214</v>
      </c>
      <c r="AF343" s="2" t="s">
        <v>6215</v>
      </c>
      <c r="AG343" s="2" t="s">
        <v>86</v>
      </c>
      <c r="AH343" s="2" t="s">
        <v>86</v>
      </c>
      <c r="AI343" s="2" t="s">
        <v>6216</v>
      </c>
      <c r="AJ343" s="2" t="s">
        <v>6217</v>
      </c>
      <c r="AK343" s="2" t="s">
        <v>6218</v>
      </c>
      <c r="AL343" s="4">
        <v>1996</v>
      </c>
      <c r="AM343" s="4">
        <v>38</v>
      </c>
      <c r="AN343" s="4">
        <v>2</v>
      </c>
      <c r="AO343" s="2" t="s">
        <v>86</v>
      </c>
      <c r="AP343" s="2" t="s">
        <v>86</v>
      </c>
      <c r="AQ343" s="2" t="s">
        <v>86</v>
      </c>
      <c r="AR343" s="2" t="s">
        <v>86</v>
      </c>
      <c r="AS343" s="4">
        <v>223</v>
      </c>
      <c r="AT343" s="4">
        <v>225</v>
      </c>
      <c r="AU343" s="2" t="s">
        <v>86</v>
      </c>
      <c r="AV343" s="2" t="s">
        <v>86</v>
      </c>
      <c r="AW343" s="2" t="s">
        <v>86</v>
      </c>
      <c r="AX343" s="4">
        <v>3</v>
      </c>
      <c r="AY343" s="2" t="s">
        <v>6219</v>
      </c>
      <c r="AZ343" s="2" t="s">
        <v>92</v>
      </c>
      <c r="BA343" s="2" t="s">
        <v>6219</v>
      </c>
      <c r="BB343" s="2" t="s">
        <v>6220</v>
      </c>
      <c r="BC343" s="4">
        <v>8701488</v>
      </c>
      <c r="BD343" s="2" t="s">
        <v>86</v>
      </c>
      <c r="BE343" s="2" t="s">
        <v>86</v>
      </c>
      <c r="BF343" s="2" t="s">
        <v>86</v>
      </c>
      <c r="BG343" s="2" t="s">
        <v>95</v>
      </c>
      <c r="BH343" s="2" t="s">
        <v>6221</v>
      </c>
      <c r="BI343" s="2" t="str">
        <f>HYPERLINK("https%3A%2F%2Fwww.webofscience.com%2Fwos%2Fwoscc%2Ffull-record%2FWOS:A1996UP29600014","View Full Record in Web of Science")</f>
        <v>View Full Record in Web of Science</v>
      </c>
    </row>
    <row r="344" spans="1:61" customFormat="1" ht="12.75" x14ac:dyDescent="0.2">
      <c r="A344" s="1">
        <v>341</v>
      </c>
      <c r="B344" s="1" t="s">
        <v>1068</v>
      </c>
      <c r="C344" s="1" t="s">
        <v>6222</v>
      </c>
      <c r="D344" s="2" t="s">
        <v>6223</v>
      </c>
      <c r="E344" s="2" t="s">
        <v>6224</v>
      </c>
      <c r="F344" s="3" t="str">
        <f>HYPERLINK("http://dx.doi.org/10.1016/j.jhazmat.2020.123472","http://dx.doi.org/10.1016/j.jhazmat.2020.123472")</f>
        <v>http://dx.doi.org/10.1016/j.jhazmat.2020.123472</v>
      </c>
      <c r="G344" s="2" t="s">
        <v>200</v>
      </c>
      <c r="H344" s="2" t="s">
        <v>6225</v>
      </c>
      <c r="I344" s="2" t="s">
        <v>6226</v>
      </c>
      <c r="J344" s="2" t="s">
        <v>2836</v>
      </c>
      <c r="K344" s="2" t="s">
        <v>68</v>
      </c>
      <c r="L344" s="2" t="s">
        <v>6227</v>
      </c>
      <c r="M344" s="2" t="s">
        <v>6228</v>
      </c>
      <c r="N344" s="2" t="s">
        <v>6229</v>
      </c>
      <c r="O344" s="2" t="s">
        <v>6230</v>
      </c>
      <c r="P344" s="2" t="s">
        <v>6231</v>
      </c>
      <c r="Q344" s="2" t="s">
        <v>4760</v>
      </c>
      <c r="R344" s="2" t="s">
        <v>4975</v>
      </c>
      <c r="S344" s="2" t="s">
        <v>6232</v>
      </c>
      <c r="T344" s="2" t="s">
        <v>6233</v>
      </c>
      <c r="U344" s="2" t="s">
        <v>6234</v>
      </c>
      <c r="V344" s="2" t="s">
        <v>6235</v>
      </c>
      <c r="W344" s="2" t="s">
        <v>80</v>
      </c>
      <c r="X344" s="4">
        <v>48</v>
      </c>
      <c r="Y344" s="4">
        <v>63</v>
      </c>
      <c r="Z344" s="4">
        <v>64</v>
      </c>
      <c r="AA344" s="4">
        <v>20</v>
      </c>
      <c r="AB344" s="4">
        <v>108</v>
      </c>
      <c r="AC344" s="2" t="s">
        <v>585</v>
      </c>
      <c r="AD344" s="2" t="s">
        <v>586</v>
      </c>
      <c r="AE344" s="2" t="s">
        <v>587</v>
      </c>
      <c r="AF344" s="2" t="s">
        <v>2841</v>
      </c>
      <c r="AG344" s="2" t="s">
        <v>2842</v>
      </c>
      <c r="AH344" s="2" t="s">
        <v>86</v>
      </c>
      <c r="AI344" s="2" t="s">
        <v>2843</v>
      </c>
      <c r="AJ344" s="2" t="s">
        <v>2844</v>
      </c>
      <c r="AK344" s="2" t="s">
        <v>390</v>
      </c>
      <c r="AL344" s="4">
        <v>2021</v>
      </c>
      <c r="AM344" s="4">
        <v>402</v>
      </c>
      <c r="AN344" s="2" t="s">
        <v>86</v>
      </c>
      <c r="AO344" s="2" t="s">
        <v>86</v>
      </c>
      <c r="AP344" s="2" t="s">
        <v>86</v>
      </c>
      <c r="AQ344" s="2" t="s">
        <v>86</v>
      </c>
      <c r="AR344" s="2" t="s">
        <v>86</v>
      </c>
      <c r="AS344" s="2" t="s">
        <v>86</v>
      </c>
      <c r="AT344" s="2" t="s">
        <v>86</v>
      </c>
      <c r="AU344" s="4">
        <v>123472</v>
      </c>
      <c r="AV344" s="2" t="s">
        <v>86</v>
      </c>
      <c r="AW344" s="2" t="s">
        <v>86</v>
      </c>
      <c r="AX344" s="4">
        <v>14</v>
      </c>
      <c r="AY344" s="2" t="s">
        <v>567</v>
      </c>
      <c r="AZ344" s="2" t="s">
        <v>92</v>
      </c>
      <c r="BA344" s="2" t="s">
        <v>568</v>
      </c>
      <c r="BB344" s="2" t="s">
        <v>6236</v>
      </c>
      <c r="BC344" s="4">
        <v>32731115</v>
      </c>
      <c r="BD344" s="2" t="s">
        <v>3273</v>
      </c>
      <c r="BE344" s="2" t="s">
        <v>86</v>
      </c>
      <c r="BF344" s="2" t="s">
        <v>86</v>
      </c>
      <c r="BG344" s="2" t="s">
        <v>95</v>
      </c>
      <c r="BH344" s="2" t="s">
        <v>6237</v>
      </c>
      <c r="BI344" s="2" t="str">
        <f>HYPERLINK("https%3A%2F%2Fwww.webofscience.com%2Fwos%2Fwoscc%2Ffull-record%2FWOS:000593837900010","View Full Record in Web of Science")</f>
        <v>View Full Record in Web of Science</v>
      </c>
    </row>
    <row r="345" spans="1:61" customFormat="1" ht="12.75" x14ac:dyDescent="0.2">
      <c r="A345" s="1">
        <v>342</v>
      </c>
      <c r="B345" s="1" t="s">
        <v>1068</v>
      </c>
      <c r="C345" s="1" t="s">
        <v>6238</v>
      </c>
      <c r="D345" s="2" t="s">
        <v>6239</v>
      </c>
      <c r="E345" s="2" t="s">
        <v>6240</v>
      </c>
      <c r="F345" s="3" t="str">
        <f>HYPERLINK("http://dx.doi.org/10.1002/pc.21111","http://dx.doi.org/10.1002/pc.21111")</f>
        <v>http://dx.doi.org/10.1002/pc.21111</v>
      </c>
      <c r="G345" s="2" t="s">
        <v>200</v>
      </c>
      <c r="H345" s="2" t="s">
        <v>6241</v>
      </c>
      <c r="I345" s="2" t="s">
        <v>6242</v>
      </c>
      <c r="J345" s="2" t="s">
        <v>4949</v>
      </c>
      <c r="K345" s="2" t="s">
        <v>68</v>
      </c>
      <c r="L345" s="2" t="s">
        <v>86</v>
      </c>
      <c r="M345" s="2" t="s">
        <v>6243</v>
      </c>
      <c r="N345" s="2" t="s">
        <v>6244</v>
      </c>
      <c r="O345" s="2" t="s">
        <v>6245</v>
      </c>
      <c r="P345" s="2" t="s">
        <v>6246</v>
      </c>
      <c r="Q345" s="2" t="s">
        <v>6247</v>
      </c>
      <c r="R345" s="2" t="s">
        <v>6092</v>
      </c>
      <c r="S345" s="2" t="s">
        <v>6093</v>
      </c>
      <c r="T345" s="2" t="s">
        <v>86</v>
      </c>
      <c r="U345" s="2" t="s">
        <v>86</v>
      </c>
      <c r="V345" s="2" t="s">
        <v>86</v>
      </c>
      <c r="W345" s="2" t="s">
        <v>80</v>
      </c>
      <c r="X345" s="4">
        <v>38</v>
      </c>
      <c r="Y345" s="4">
        <v>5</v>
      </c>
      <c r="Z345" s="4">
        <v>5</v>
      </c>
      <c r="AA345" s="4">
        <v>0</v>
      </c>
      <c r="AB345" s="4">
        <v>12</v>
      </c>
      <c r="AC345" s="2" t="s">
        <v>956</v>
      </c>
      <c r="AD345" s="2" t="s">
        <v>957</v>
      </c>
      <c r="AE345" s="2" t="s">
        <v>958</v>
      </c>
      <c r="AF345" s="2" t="s">
        <v>4960</v>
      </c>
      <c r="AG345" s="2" t="s">
        <v>4961</v>
      </c>
      <c r="AH345" s="2" t="s">
        <v>86</v>
      </c>
      <c r="AI345" s="2" t="s">
        <v>4962</v>
      </c>
      <c r="AJ345" s="2" t="s">
        <v>4963</v>
      </c>
      <c r="AK345" s="2" t="s">
        <v>342</v>
      </c>
      <c r="AL345" s="4">
        <v>2011</v>
      </c>
      <c r="AM345" s="4">
        <v>32</v>
      </c>
      <c r="AN345" s="4">
        <v>6</v>
      </c>
      <c r="AO345" s="2" t="s">
        <v>86</v>
      </c>
      <c r="AP345" s="2" t="s">
        <v>86</v>
      </c>
      <c r="AQ345" s="2" t="s">
        <v>86</v>
      </c>
      <c r="AR345" s="2" t="s">
        <v>86</v>
      </c>
      <c r="AS345" s="4">
        <v>928</v>
      </c>
      <c r="AT345" s="4">
        <v>936</v>
      </c>
      <c r="AU345" s="2" t="s">
        <v>86</v>
      </c>
      <c r="AV345" s="2" t="s">
        <v>86</v>
      </c>
      <c r="AW345" s="2" t="s">
        <v>86</v>
      </c>
      <c r="AX345" s="4">
        <v>9</v>
      </c>
      <c r="AY345" s="2" t="s">
        <v>4964</v>
      </c>
      <c r="AZ345" s="2" t="s">
        <v>92</v>
      </c>
      <c r="BA345" s="2" t="s">
        <v>4304</v>
      </c>
      <c r="BB345" s="2" t="s">
        <v>6248</v>
      </c>
      <c r="BC345" s="2" t="s">
        <v>86</v>
      </c>
      <c r="BD345" s="2" t="s">
        <v>86</v>
      </c>
      <c r="BE345" s="2" t="s">
        <v>86</v>
      </c>
      <c r="BF345" s="2" t="s">
        <v>86</v>
      </c>
      <c r="BG345" s="2" t="s">
        <v>95</v>
      </c>
      <c r="BH345" s="2" t="s">
        <v>6249</v>
      </c>
      <c r="BI345" s="2" t="str">
        <f>HYPERLINK("https%3A%2F%2Fwww.webofscience.com%2Fwos%2Fwoscc%2Ffull-record%2FWOS:000290478600007","View Full Record in Web of Science")</f>
        <v>View Full Record in Web of Science</v>
      </c>
    </row>
    <row r="346" spans="1:61" customFormat="1" ht="12.75" x14ac:dyDescent="0.2">
      <c r="A346" s="1">
        <v>343</v>
      </c>
      <c r="B346" s="1" t="s">
        <v>1068</v>
      </c>
      <c r="C346" s="1" t="s">
        <v>6250</v>
      </c>
      <c r="D346" s="2" t="s">
        <v>6251</v>
      </c>
      <c r="E346" s="2" t="s">
        <v>6252</v>
      </c>
      <c r="F346" s="3" t="str">
        <f>HYPERLINK("http://dx.doi.org/10.1002/pc.25045","http://dx.doi.org/10.1002/pc.25045")</f>
        <v>http://dx.doi.org/10.1002/pc.25045</v>
      </c>
      <c r="G346" s="2" t="s">
        <v>200</v>
      </c>
      <c r="H346" s="2" t="s">
        <v>6253</v>
      </c>
      <c r="I346" s="2" t="s">
        <v>6254</v>
      </c>
      <c r="J346" s="2" t="s">
        <v>4949</v>
      </c>
      <c r="K346" s="2" t="s">
        <v>68</v>
      </c>
      <c r="L346" s="2" t="s">
        <v>86</v>
      </c>
      <c r="M346" s="2" t="s">
        <v>6255</v>
      </c>
      <c r="N346" s="2" t="s">
        <v>6256</v>
      </c>
      <c r="O346" s="2" t="s">
        <v>6257</v>
      </c>
      <c r="P346" s="2" t="s">
        <v>5799</v>
      </c>
      <c r="Q346" s="2" t="s">
        <v>5800</v>
      </c>
      <c r="R346" s="2" t="s">
        <v>6258</v>
      </c>
      <c r="S346" s="2" t="s">
        <v>6259</v>
      </c>
      <c r="T346" s="2" t="s">
        <v>6260</v>
      </c>
      <c r="U346" s="2" t="s">
        <v>6261</v>
      </c>
      <c r="V346" s="2" t="s">
        <v>6262</v>
      </c>
      <c r="W346" s="2" t="s">
        <v>80</v>
      </c>
      <c r="X346" s="4">
        <v>38</v>
      </c>
      <c r="Y346" s="4">
        <v>3</v>
      </c>
      <c r="Z346" s="4">
        <v>3</v>
      </c>
      <c r="AA346" s="4">
        <v>0</v>
      </c>
      <c r="AB346" s="4">
        <v>7</v>
      </c>
      <c r="AC346" s="2" t="s">
        <v>956</v>
      </c>
      <c r="AD346" s="2" t="s">
        <v>957</v>
      </c>
      <c r="AE346" s="2" t="s">
        <v>958</v>
      </c>
      <c r="AF346" s="2" t="s">
        <v>4960</v>
      </c>
      <c r="AG346" s="2" t="s">
        <v>4961</v>
      </c>
      <c r="AH346" s="2" t="s">
        <v>86</v>
      </c>
      <c r="AI346" s="2" t="s">
        <v>4962</v>
      </c>
      <c r="AJ346" s="2" t="s">
        <v>4963</v>
      </c>
      <c r="AK346" s="2" t="s">
        <v>366</v>
      </c>
      <c r="AL346" s="4">
        <v>2019</v>
      </c>
      <c r="AM346" s="4">
        <v>40</v>
      </c>
      <c r="AN346" s="2" t="s">
        <v>86</v>
      </c>
      <c r="AO346" s="2" t="s">
        <v>86</v>
      </c>
      <c r="AP346" s="4">
        <v>2</v>
      </c>
      <c r="AQ346" s="2" t="s">
        <v>963</v>
      </c>
      <c r="AR346" s="2" t="s">
        <v>86</v>
      </c>
      <c r="AS346" s="2" t="s">
        <v>6263</v>
      </c>
      <c r="AT346" s="2" t="s">
        <v>6264</v>
      </c>
      <c r="AU346" s="2" t="s">
        <v>86</v>
      </c>
      <c r="AV346" s="2" t="s">
        <v>86</v>
      </c>
      <c r="AW346" s="2" t="s">
        <v>86</v>
      </c>
      <c r="AX346" s="4">
        <v>10</v>
      </c>
      <c r="AY346" s="2" t="s">
        <v>4964</v>
      </c>
      <c r="AZ346" s="2" t="s">
        <v>92</v>
      </c>
      <c r="BA346" s="2" t="s">
        <v>4304</v>
      </c>
      <c r="BB346" s="2" t="s">
        <v>6265</v>
      </c>
      <c r="BC346" s="2" t="s">
        <v>86</v>
      </c>
      <c r="BD346" s="2" t="s">
        <v>86</v>
      </c>
      <c r="BE346" s="2" t="s">
        <v>86</v>
      </c>
      <c r="BF346" s="2" t="s">
        <v>86</v>
      </c>
      <c r="BG346" s="2" t="s">
        <v>95</v>
      </c>
      <c r="BH346" s="2" t="s">
        <v>6266</v>
      </c>
      <c r="BI346" s="2" t="str">
        <f>HYPERLINK("https%3A%2F%2Fwww.webofscience.com%2Fwos%2Fwoscc%2Ffull-record%2FWOS:000482171700050","View Full Record in Web of Science")</f>
        <v>View Full Record in Web of Science</v>
      </c>
    </row>
    <row r="347" spans="1:61" customFormat="1" ht="12.75" x14ac:dyDescent="0.2">
      <c r="A347" s="1">
        <v>344</v>
      </c>
      <c r="B347" s="1" t="s">
        <v>1068</v>
      </c>
      <c r="C347" s="1" t="s">
        <v>6267</v>
      </c>
      <c r="D347" s="2" t="s">
        <v>6268</v>
      </c>
      <c r="E347" s="2" t="s">
        <v>86</v>
      </c>
      <c r="F347" s="2" t="s">
        <v>86</v>
      </c>
      <c r="G347" s="2" t="s">
        <v>200</v>
      </c>
      <c r="H347" s="2" t="s">
        <v>6269</v>
      </c>
      <c r="I347" s="2" t="s">
        <v>6270</v>
      </c>
      <c r="J347" s="2" t="s">
        <v>6271</v>
      </c>
      <c r="K347" s="2" t="s">
        <v>305</v>
      </c>
      <c r="L347" s="2" t="s">
        <v>6272</v>
      </c>
      <c r="M347" s="2" t="s">
        <v>86</v>
      </c>
      <c r="N347" s="2" t="s">
        <v>6273</v>
      </c>
      <c r="O347" s="2" t="s">
        <v>6274</v>
      </c>
      <c r="P347" s="2" t="s">
        <v>6275</v>
      </c>
      <c r="Q347" s="2" t="s">
        <v>6276</v>
      </c>
      <c r="R347" s="2" t="s">
        <v>86</v>
      </c>
      <c r="S347" s="2" t="s">
        <v>86</v>
      </c>
      <c r="T347" s="2" t="s">
        <v>86</v>
      </c>
      <c r="U347" s="2" t="s">
        <v>86</v>
      </c>
      <c r="V347" s="2" t="s">
        <v>86</v>
      </c>
      <c r="W347" s="2" t="s">
        <v>80</v>
      </c>
      <c r="X347" s="4">
        <v>5</v>
      </c>
      <c r="Y347" s="4">
        <v>0</v>
      </c>
      <c r="Z347" s="4">
        <v>0</v>
      </c>
      <c r="AA347" s="4">
        <v>0</v>
      </c>
      <c r="AB347" s="4">
        <v>0</v>
      </c>
      <c r="AC347" s="2" t="s">
        <v>6277</v>
      </c>
      <c r="AD347" s="2" t="s">
        <v>165</v>
      </c>
      <c r="AE347" s="2" t="s">
        <v>6278</v>
      </c>
      <c r="AF347" s="2" t="s">
        <v>6279</v>
      </c>
      <c r="AG347" s="2" t="s">
        <v>6280</v>
      </c>
      <c r="AH347" s="2" t="s">
        <v>86</v>
      </c>
      <c r="AI347" s="2" t="s">
        <v>6281</v>
      </c>
      <c r="AJ347" s="2" t="s">
        <v>6282</v>
      </c>
      <c r="AK347" s="2" t="s">
        <v>86</v>
      </c>
      <c r="AL347" s="4">
        <v>2011</v>
      </c>
      <c r="AM347" s="4">
        <v>3</v>
      </c>
      <c r="AN347" s="4">
        <v>1</v>
      </c>
      <c r="AO347" s="2" t="s">
        <v>86</v>
      </c>
      <c r="AP347" s="2" t="s">
        <v>86</v>
      </c>
      <c r="AQ347" s="2" t="s">
        <v>86</v>
      </c>
      <c r="AR347" s="2" t="s">
        <v>86</v>
      </c>
      <c r="AS347" s="4">
        <v>27</v>
      </c>
      <c r="AT347" s="4">
        <v>35</v>
      </c>
      <c r="AU347" s="2" t="s">
        <v>86</v>
      </c>
      <c r="AV347" s="2" t="s">
        <v>86</v>
      </c>
      <c r="AW347" s="2" t="s">
        <v>86</v>
      </c>
      <c r="AX347" s="4">
        <v>9</v>
      </c>
      <c r="AY347" s="2" t="s">
        <v>808</v>
      </c>
      <c r="AZ347" s="2" t="s">
        <v>171</v>
      </c>
      <c r="BA347" s="2" t="s">
        <v>345</v>
      </c>
      <c r="BB347" s="2" t="s">
        <v>6283</v>
      </c>
      <c r="BC347" s="2" t="s">
        <v>86</v>
      </c>
      <c r="BD347" s="2" t="s">
        <v>86</v>
      </c>
      <c r="BE347" s="2" t="s">
        <v>86</v>
      </c>
      <c r="BF347" s="2" t="s">
        <v>86</v>
      </c>
      <c r="BG347" s="2" t="s">
        <v>95</v>
      </c>
      <c r="BH347" s="2" t="s">
        <v>6284</v>
      </c>
      <c r="BI347" s="2" t="str">
        <f>HYPERLINK("https%3A%2F%2Fwww.webofscience.com%2Fwos%2Fwoscc%2Ffull-record%2FWOS:000219500400004","View Full Record in Web of Science")</f>
        <v>View Full Record in Web of Science</v>
      </c>
    </row>
    <row r="348" spans="1:61" customFormat="1" ht="12.75" x14ac:dyDescent="0.2">
      <c r="A348" s="1">
        <v>345</v>
      </c>
      <c r="B348" s="1" t="s">
        <v>1068</v>
      </c>
      <c r="C348" s="1" t="s">
        <v>6285</v>
      </c>
      <c r="D348" s="2" t="s">
        <v>6286</v>
      </c>
      <c r="E348" s="2" t="s">
        <v>6287</v>
      </c>
      <c r="F348" s="3" t="str">
        <f>HYPERLINK("http://dx.doi.org/10.5277/ppmp160223","http://dx.doi.org/10.5277/ppmp160223")</f>
        <v>http://dx.doi.org/10.5277/ppmp160223</v>
      </c>
      <c r="G348" s="2" t="s">
        <v>200</v>
      </c>
      <c r="H348" s="2" t="s">
        <v>6288</v>
      </c>
      <c r="I348" s="2" t="s">
        <v>6289</v>
      </c>
      <c r="J348" s="2" t="s">
        <v>6290</v>
      </c>
      <c r="K348" s="2" t="s">
        <v>68</v>
      </c>
      <c r="L348" s="2" t="s">
        <v>6291</v>
      </c>
      <c r="M348" s="2" t="s">
        <v>6292</v>
      </c>
      <c r="N348" s="2" t="s">
        <v>6293</v>
      </c>
      <c r="O348" s="2" t="s">
        <v>6294</v>
      </c>
      <c r="P348" s="2" t="s">
        <v>6295</v>
      </c>
      <c r="Q348" s="2" t="s">
        <v>6296</v>
      </c>
      <c r="R348" s="2" t="s">
        <v>86</v>
      </c>
      <c r="S348" s="2" t="s">
        <v>86</v>
      </c>
      <c r="T348" s="2" t="s">
        <v>6297</v>
      </c>
      <c r="U348" s="2" t="s">
        <v>6298</v>
      </c>
      <c r="V348" s="2" t="s">
        <v>6299</v>
      </c>
      <c r="W348" s="2" t="s">
        <v>80</v>
      </c>
      <c r="X348" s="4">
        <v>28</v>
      </c>
      <c r="Y348" s="4">
        <v>2</v>
      </c>
      <c r="Z348" s="4">
        <v>2</v>
      </c>
      <c r="AA348" s="4">
        <v>0</v>
      </c>
      <c r="AB348" s="4">
        <v>23</v>
      </c>
      <c r="AC348" s="2" t="s">
        <v>6300</v>
      </c>
      <c r="AD348" s="2" t="s">
        <v>5398</v>
      </c>
      <c r="AE348" s="2" t="s">
        <v>6301</v>
      </c>
      <c r="AF348" s="2" t="s">
        <v>6302</v>
      </c>
      <c r="AG348" s="2" t="s">
        <v>6303</v>
      </c>
      <c r="AH348" s="2" t="s">
        <v>86</v>
      </c>
      <c r="AI348" s="2" t="s">
        <v>6304</v>
      </c>
      <c r="AJ348" s="2" t="s">
        <v>6305</v>
      </c>
      <c r="AK348" s="2" t="s">
        <v>86</v>
      </c>
      <c r="AL348" s="4">
        <v>2016</v>
      </c>
      <c r="AM348" s="4">
        <v>52</v>
      </c>
      <c r="AN348" s="4">
        <v>2</v>
      </c>
      <c r="AO348" s="2" t="s">
        <v>86</v>
      </c>
      <c r="AP348" s="2" t="s">
        <v>86</v>
      </c>
      <c r="AQ348" s="2" t="s">
        <v>86</v>
      </c>
      <c r="AR348" s="2" t="s">
        <v>86</v>
      </c>
      <c r="AS348" s="4">
        <v>803</v>
      </c>
      <c r="AT348" s="4">
        <v>820</v>
      </c>
      <c r="AU348" s="2" t="s">
        <v>86</v>
      </c>
      <c r="AV348" s="2" t="s">
        <v>86</v>
      </c>
      <c r="AW348" s="2" t="s">
        <v>86</v>
      </c>
      <c r="AX348" s="4">
        <v>18</v>
      </c>
      <c r="AY348" s="2" t="s">
        <v>6306</v>
      </c>
      <c r="AZ348" s="2" t="s">
        <v>92</v>
      </c>
      <c r="BA348" s="2" t="s">
        <v>6307</v>
      </c>
      <c r="BB348" s="2" t="s">
        <v>6308</v>
      </c>
      <c r="BC348" s="2" t="s">
        <v>86</v>
      </c>
      <c r="BD348" s="2" t="s">
        <v>86</v>
      </c>
      <c r="BE348" s="2" t="s">
        <v>86</v>
      </c>
      <c r="BF348" s="2" t="s">
        <v>86</v>
      </c>
      <c r="BG348" s="2" t="s">
        <v>95</v>
      </c>
      <c r="BH348" s="2" t="s">
        <v>6309</v>
      </c>
      <c r="BI348" s="2" t="str">
        <f>HYPERLINK("https%3A%2F%2Fwww.webofscience.com%2Fwos%2Fwoscc%2Ffull-record%2FWOS:000373402000023","View Full Record in Web of Science")</f>
        <v>View Full Record in Web of Science</v>
      </c>
    </row>
    <row r="349" spans="1:61" customFormat="1" ht="12.75" x14ac:dyDescent="0.2">
      <c r="A349" s="1">
        <v>346</v>
      </c>
      <c r="B349" s="1" t="s">
        <v>1068</v>
      </c>
      <c r="C349" s="1" t="s">
        <v>6310</v>
      </c>
      <c r="D349" s="2" t="s">
        <v>6311</v>
      </c>
      <c r="E349" s="2" t="s">
        <v>86</v>
      </c>
      <c r="F349" s="2" t="s">
        <v>86</v>
      </c>
      <c r="G349" s="2" t="s">
        <v>200</v>
      </c>
      <c r="H349" s="2" t="s">
        <v>6312</v>
      </c>
      <c r="I349" s="2" t="s">
        <v>6313</v>
      </c>
      <c r="J349" s="2" t="s">
        <v>1918</v>
      </c>
      <c r="K349" s="2" t="s">
        <v>68</v>
      </c>
      <c r="L349" s="2" t="s">
        <v>6314</v>
      </c>
      <c r="M349" s="2" t="s">
        <v>6315</v>
      </c>
      <c r="N349" s="2" t="s">
        <v>6316</v>
      </c>
      <c r="O349" s="2" t="s">
        <v>309</v>
      </c>
      <c r="P349" s="2" t="s">
        <v>6317</v>
      </c>
      <c r="Q349" s="2" t="s">
        <v>6318</v>
      </c>
      <c r="R349" s="2" t="s">
        <v>86</v>
      </c>
      <c r="S349" s="2" t="s">
        <v>86</v>
      </c>
      <c r="T349" s="2" t="s">
        <v>86</v>
      </c>
      <c r="U349" s="2" t="s">
        <v>86</v>
      </c>
      <c r="V349" s="2" t="s">
        <v>86</v>
      </c>
      <c r="W349" s="2" t="s">
        <v>80</v>
      </c>
      <c r="X349" s="4">
        <v>36</v>
      </c>
      <c r="Y349" s="4">
        <v>0</v>
      </c>
      <c r="Z349" s="4">
        <v>0</v>
      </c>
      <c r="AA349" s="4">
        <v>0</v>
      </c>
      <c r="AB349" s="4">
        <v>1</v>
      </c>
      <c r="AC349" s="2" t="s">
        <v>1927</v>
      </c>
      <c r="AD349" s="2" t="s">
        <v>1928</v>
      </c>
      <c r="AE349" s="2" t="s">
        <v>1929</v>
      </c>
      <c r="AF349" s="2" t="s">
        <v>1930</v>
      </c>
      <c r="AG349" s="2" t="s">
        <v>1931</v>
      </c>
      <c r="AH349" s="2" t="s">
        <v>86</v>
      </c>
      <c r="AI349" s="2" t="s">
        <v>1932</v>
      </c>
      <c r="AJ349" s="2" t="s">
        <v>1933</v>
      </c>
      <c r="AK349" s="2" t="s">
        <v>86</v>
      </c>
      <c r="AL349" s="4">
        <v>2021</v>
      </c>
      <c r="AM349" s="4">
        <v>30</v>
      </c>
      <c r="AN349" s="2" t="s">
        <v>6319</v>
      </c>
      <c r="AO349" s="2" t="s">
        <v>86</v>
      </c>
      <c r="AP349" s="2" t="s">
        <v>86</v>
      </c>
      <c r="AQ349" s="2" t="s">
        <v>86</v>
      </c>
      <c r="AR349" s="2" t="s">
        <v>86</v>
      </c>
      <c r="AS349" s="4">
        <v>7798</v>
      </c>
      <c r="AT349" s="4">
        <v>7805</v>
      </c>
      <c r="AU349" s="2" t="s">
        <v>86</v>
      </c>
      <c r="AV349" s="2" t="s">
        <v>86</v>
      </c>
      <c r="AW349" s="2" t="s">
        <v>86</v>
      </c>
      <c r="AX349" s="4">
        <v>8</v>
      </c>
      <c r="AY349" s="2" t="s">
        <v>91</v>
      </c>
      <c r="AZ349" s="2" t="s">
        <v>92</v>
      </c>
      <c r="BA349" s="2" t="s">
        <v>93</v>
      </c>
      <c r="BB349" s="2" t="s">
        <v>6320</v>
      </c>
      <c r="BC349" s="2" t="s">
        <v>86</v>
      </c>
      <c r="BD349" s="2" t="s">
        <v>86</v>
      </c>
      <c r="BE349" s="2" t="s">
        <v>86</v>
      </c>
      <c r="BF349" s="2" t="s">
        <v>86</v>
      </c>
      <c r="BG349" s="2" t="s">
        <v>95</v>
      </c>
      <c r="BH349" s="2" t="s">
        <v>6321</v>
      </c>
      <c r="BI349" s="2" t="str">
        <f>HYPERLINK("https%3A%2F%2Fwww.webofscience.com%2Fwos%2Fwoscc%2Ffull-record%2FWOS:000670303700091","View Full Record in Web of Science")</f>
        <v>View Full Record in Web of Science</v>
      </c>
    </row>
    <row r="350" spans="1:61" customFormat="1" ht="12.75" x14ac:dyDescent="0.2">
      <c r="A350" s="1">
        <v>347</v>
      </c>
      <c r="B350" s="1" t="s">
        <v>1068</v>
      </c>
      <c r="C350" s="1" t="s">
        <v>6322</v>
      </c>
      <c r="D350" s="2" t="s">
        <v>6323</v>
      </c>
      <c r="E350" s="2" t="s">
        <v>6324</v>
      </c>
      <c r="F350" s="3" t="str">
        <f>HYPERLINK("http://dx.doi.org/10.1007/s11356-018-3502-0","http://dx.doi.org/10.1007/s11356-018-3502-0")</f>
        <v>http://dx.doi.org/10.1007/s11356-018-3502-0</v>
      </c>
      <c r="G350" s="2" t="s">
        <v>200</v>
      </c>
      <c r="H350" s="2" t="s">
        <v>6325</v>
      </c>
      <c r="I350" s="2" t="s">
        <v>6326</v>
      </c>
      <c r="J350" s="2" t="s">
        <v>67</v>
      </c>
      <c r="K350" s="2" t="s">
        <v>68</v>
      </c>
      <c r="L350" s="2" t="s">
        <v>6327</v>
      </c>
      <c r="M350" s="2" t="s">
        <v>6328</v>
      </c>
      <c r="N350" s="2" t="s">
        <v>6329</v>
      </c>
      <c r="O350" s="2" t="s">
        <v>798</v>
      </c>
      <c r="P350" s="2" t="s">
        <v>6330</v>
      </c>
      <c r="Q350" s="2" t="s">
        <v>6331</v>
      </c>
      <c r="R350" s="2" t="s">
        <v>6332</v>
      </c>
      <c r="S350" s="2" t="s">
        <v>6333</v>
      </c>
      <c r="T350" s="2" t="s">
        <v>6334</v>
      </c>
      <c r="U350" s="2" t="s">
        <v>6335</v>
      </c>
      <c r="V350" s="2" t="s">
        <v>6336</v>
      </c>
      <c r="W350" s="2" t="s">
        <v>80</v>
      </c>
      <c r="X350" s="4">
        <v>65</v>
      </c>
      <c r="Y350" s="4">
        <v>18</v>
      </c>
      <c r="Z350" s="4">
        <v>19</v>
      </c>
      <c r="AA350" s="4">
        <v>0</v>
      </c>
      <c r="AB350" s="4">
        <v>24</v>
      </c>
      <c r="AC350" s="2" t="s">
        <v>81</v>
      </c>
      <c r="AD350" s="2" t="s">
        <v>82</v>
      </c>
      <c r="AE350" s="2" t="s">
        <v>83</v>
      </c>
      <c r="AF350" s="2" t="s">
        <v>84</v>
      </c>
      <c r="AG350" s="2" t="s">
        <v>85</v>
      </c>
      <c r="AH350" s="2" t="s">
        <v>86</v>
      </c>
      <c r="AI350" s="2" t="s">
        <v>87</v>
      </c>
      <c r="AJ350" s="2" t="s">
        <v>88</v>
      </c>
      <c r="AK350" s="2" t="s">
        <v>217</v>
      </c>
      <c r="AL350" s="4">
        <v>2018</v>
      </c>
      <c r="AM350" s="4">
        <v>25</v>
      </c>
      <c r="AN350" s="4">
        <v>36</v>
      </c>
      <c r="AO350" s="2" t="s">
        <v>86</v>
      </c>
      <c r="AP350" s="2" t="s">
        <v>86</v>
      </c>
      <c r="AQ350" s="2" t="s">
        <v>963</v>
      </c>
      <c r="AR350" s="2" t="s">
        <v>86</v>
      </c>
      <c r="AS350" s="4">
        <v>36117</v>
      </c>
      <c r="AT350" s="4">
        <v>36123</v>
      </c>
      <c r="AU350" s="2" t="s">
        <v>86</v>
      </c>
      <c r="AV350" s="2" t="s">
        <v>86</v>
      </c>
      <c r="AW350" s="2" t="s">
        <v>86</v>
      </c>
      <c r="AX350" s="4">
        <v>7</v>
      </c>
      <c r="AY350" s="2" t="s">
        <v>91</v>
      </c>
      <c r="AZ350" s="2" t="s">
        <v>92</v>
      </c>
      <c r="BA350" s="2" t="s">
        <v>93</v>
      </c>
      <c r="BB350" s="2" t="s">
        <v>6337</v>
      </c>
      <c r="BC350" s="4">
        <v>30357725</v>
      </c>
      <c r="BD350" s="2" t="s">
        <v>86</v>
      </c>
      <c r="BE350" s="2" t="s">
        <v>86</v>
      </c>
      <c r="BF350" s="2" t="s">
        <v>86</v>
      </c>
      <c r="BG350" s="2" t="s">
        <v>95</v>
      </c>
      <c r="BH350" s="2" t="s">
        <v>6338</v>
      </c>
      <c r="BI350" s="2" t="str">
        <f>HYPERLINK("https%3A%2F%2Fwww.webofscience.com%2Fwos%2Fwoscc%2Ffull-record%2FWOS:000452489500033","View Full Record in Web of Science")</f>
        <v>View Full Record in Web of Science</v>
      </c>
    </row>
    <row r="351" spans="1:61" customFormat="1" ht="12.75" x14ac:dyDescent="0.2">
      <c r="A351" s="1">
        <v>348</v>
      </c>
      <c r="B351" s="1" t="s">
        <v>1068</v>
      </c>
      <c r="C351" s="1" t="s">
        <v>6339</v>
      </c>
      <c r="D351" s="2" t="s">
        <v>6340</v>
      </c>
      <c r="E351" s="2" t="s">
        <v>6341</v>
      </c>
      <c r="F351" s="3" t="str">
        <f>HYPERLINK("http://dx.doi.org/10.1080/09712119.2006.9706610","http://dx.doi.org/10.1080/09712119.2006.9706610")</f>
        <v>http://dx.doi.org/10.1080/09712119.2006.9706610</v>
      </c>
      <c r="G351" s="2" t="s">
        <v>200</v>
      </c>
      <c r="H351" s="2" t="s">
        <v>6342</v>
      </c>
      <c r="I351" s="2" t="s">
        <v>6343</v>
      </c>
      <c r="J351" s="2" t="s">
        <v>6344</v>
      </c>
      <c r="K351" s="2" t="s">
        <v>68</v>
      </c>
      <c r="L351" s="2" t="s">
        <v>6345</v>
      </c>
      <c r="M351" s="2" t="s">
        <v>86</v>
      </c>
      <c r="N351" s="2" t="s">
        <v>6346</v>
      </c>
      <c r="O351" s="2" t="s">
        <v>1150</v>
      </c>
      <c r="P351" s="2" t="s">
        <v>6347</v>
      </c>
      <c r="Q351" s="2" t="s">
        <v>6348</v>
      </c>
      <c r="R351" s="2" t="s">
        <v>86</v>
      </c>
      <c r="S351" s="2" t="s">
        <v>86</v>
      </c>
      <c r="T351" s="2" t="s">
        <v>86</v>
      </c>
      <c r="U351" s="2" t="s">
        <v>86</v>
      </c>
      <c r="V351" s="2" t="s">
        <v>86</v>
      </c>
      <c r="W351" s="2" t="s">
        <v>80</v>
      </c>
      <c r="X351" s="4">
        <v>16</v>
      </c>
      <c r="Y351" s="4">
        <v>19</v>
      </c>
      <c r="Z351" s="4">
        <v>19</v>
      </c>
      <c r="AA351" s="4">
        <v>0</v>
      </c>
      <c r="AB351" s="4">
        <v>3</v>
      </c>
      <c r="AC351" s="2" t="s">
        <v>286</v>
      </c>
      <c r="AD351" s="2" t="s">
        <v>287</v>
      </c>
      <c r="AE351" s="2" t="s">
        <v>288</v>
      </c>
      <c r="AF351" s="2" t="s">
        <v>6349</v>
      </c>
      <c r="AG351" s="2" t="s">
        <v>6350</v>
      </c>
      <c r="AH351" s="2" t="s">
        <v>86</v>
      </c>
      <c r="AI351" s="2" t="s">
        <v>6351</v>
      </c>
      <c r="AJ351" s="2" t="s">
        <v>6352</v>
      </c>
      <c r="AK351" s="2" t="s">
        <v>217</v>
      </c>
      <c r="AL351" s="4">
        <v>2006</v>
      </c>
      <c r="AM351" s="4">
        <v>30</v>
      </c>
      <c r="AN351" s="4">
        <v>2</v>
      </c>
      <c r="AO351" s="2" t="s">
        <v>86</v>
      </c>
      <c r="AP351" s="2" t="s">
        <v>86</v>
      </c>
      <c r="AQ351" s="2" t="s">
        <v>86</v>
      </c>
      <c r="AR351" s="2" t="s">
        <v>86</v>
      </c>
      <c r="AS351" s="4">
        <v>161</v>
      </c>
      <c r="AT351" s="4">
        <v>165</v>
      </c>
      <c r="AU351" s="2" t="s">
        <v>86</v>
      </c>
      <c r="AV351" s="2" t="s">
        <v>86</v>
      </c>
      <c r="AW351" s="2" t="s">
        <v>86</v>
      </c>
      <c r="AX351" s="4">
        <v>5</v>
      </c>
      <c r="AY351" s="2" t="s">
        <v>4718</v>
      </c>
      <c r="AZ351" s="2" t="s">
        <v>92</v>
      </c>
      <c r="BA351" s="2" t="s">
        <v>4719</v>
      </c>
      <c r="BB351" s="2" t="s">
        <v>6353</v>
      </c>
      <c r="BC351" s="2" t="s">
        <v>86</v>
      </c>
      <c r="BD351" s="2" t="s">
        <v>86</v>
      </c>
      <c r="BE351" s="2" t="s">
        <v>86</v>
      </c>
      <c r="BF351" s="2" t="s">
        <v>86</v>
      </c>
      <c r="BG351" s="2" t="s">
        <v>95</v>
      </c>
      <c r="BH351" s="2" t="s">
        <v>6354</v>
      </c>
      <c r="BI351" s="2" t="str">
        <f>HYPERLINK("https%3A%2F%2Fwww.webofscience.com%2Fwos%2Fwoscc%2Ffull-record%2FWOS:000242871500015","View Full Record in Web of Science")</f>
        <v>View Full Record in Web of Science</v>
      </c>
    </row>
    <row r="352" spans="1:61" customFormat="1" ht="12.75" x14ac:dyDescent="0.2">
      <c r="A352" s="1">
        <v>349</v>
      </c>
      <c r="B352" s="1" t="s">
        <v>1068</v>
      </c>
      <c r="C352" s="1" t="s">
        <v>6355</v>
      </c>
      <c r="D352" s="2" t="s">
        <v>6356</v>
      </c>
      <c r="E352" s="2" t="s">
        <v>6357</v>
      </c>
      <c r="F352" s="3" t="str">
        <f>HYPERLINK("http://dx.doi.org/10.1016/0008-8846(95)00131-U","http://dx.doi.org/10.1016/0008-8846(95)00131-U")</f>
        <v>http://dx.doi.org/10.1016/0008-8846(95)00131-U</v>
      </c>
      <c r="G352" s="2" t="s">
        <v>6358</v>
      </c>
      <c r="H352" s="2" t="s">
        <v>6359</v>
      </c>
      <c r="I352" s="2" t="s">
        <v>6359</v>
      </c>
      <c r="J352" s="2" t="s">
        <v>6360</v>
      </c>
      <c r="K352" s="2" t="s">
        <v>68</v>
      </c>
      <c r="L352" s="2" t="s">
        <v>86</v>
      </c>
      <c r="M352" s="2" t="s">
        <v>86</v>
      </c>
      <c r="N352" s="2" t="s">
        <v>86</v>
      </c>
      <c r="O352" s="2" t="s">
        <v>86</v>
      </c>
      <c r="P352" s="2" t="s">
        <v>6361</v>
      </c>
      <c r="Q352" s="2" t="s">
        <v>86</v>
      </c>
      <c r="R352" s="2" t="s">
        <v>6362</v>
      </c>
      <c r="S352" s="2" t="s">
        <v>6363</v>
      </c>
      <c r="T352" s="2" t="s">
        <v>86</v>
      </c>
      <c r="U352" s="2" t="s">
        <v>86</v>
      </c>
      <c r="V352" s="2" t="s">
        <v>86</v>
      </c>
      <c r="W352" s="2" t="s">
        <v>80</v>
      </c>
      <c r="X352" s="4">
        <v>28</v>
      </c>
      <c r="Y352" s="4">
        <v>164</v>
      </c>
      <c r="Z352" s="4">
        <v>190</v>
      </c>
      <c r="AA352" s="4">
        <v>2</v>
      </c>
      <c r="AB352" s="4">
        <v>29</v>
      </c>
      <c r="AC352" s="2" t="s">
        <v>237</v>
      </c>
      <c r="AD352" s="2" t="s">
        <v>115</v>
      </c>
      <c r="AE352" s="2" t="s">
        <v>6364</v>
      </c>
      <c r="AF352" s="2" t="s">
        <v>6365</v>
      </c>
      <c r="AG352" s="2" t="s">
        <v>86</v>
      </c>
      <c r="AH352" s="2" t="s">
        <v>86</v>
      </c>
      <c r="AI352" s="2" t="s">
        <v>6366</v>
      </c>
      <c r="AJ352" s="2" t="s">
        <v>6367</v>
      </c>
      <c r="AK352" s="2" t="s">
        <v>873</v>
      </c>
      <c r="AL352" s="4">
        <v>1995</v>
      </c>
      <c r="AM352" s="4">
        <v>25</v>
      </c>
      <c r="AN352" s="4">
        <v>7</v>
      </c>
      <c r="AO352" s="2" t="s">
        <v>86</v>
      </c>
      <c r="AP352" s="2" t="s">
        <v>86</v>
      </c>
      <c r="AQ352" s="2" t="s">
        <v>86</v>
      </c>
      <c r="AR352" s="2" t="s">
        <v>86</v>
      </c>
      <c r="AS352" s="4">
        <v>1385</v>
      </c>
      <c r="AT352" s="4">
        <v>1390</v>
      </c>
      <c r="AU352" s="2" t="s">
        <v>86</v>
      </c>
      <c r="AV352" s="2" t="s">
        <v>86</v>
      </c>
      <c r="AW352" s="2" t="s">
        <v>86</v>
      </c>
      <c r="AX352" s="4">
        <v>6</v>
      </c>
      <c r="AY352" s="2" t="s">
        <v>6368</v>
      </c>
      <c r="AZ352" s="2" t="s">
        <v>92</v>
      </c>
      <c r="BA352" s="2" t="s">
        <v>4245</v>
      </c>
      <c r="BB352" s="2" t="s">
        <v>6369</v>
      </c>
      <c r="BC352" s="2" t="s">
        <v>86</v>
      </c>
      <c r="BD352" s="2" t="s">
        <v>86</v>
      </c>
      <c r="BE352" s="2" t="s">
        <v>86</v>
      </c>
      <c r="BF352" s="2" t="s">
        <v>86</v>
      </c>
      <c r="BG352" s="2" t="s">
        <v>95</v>
      </c>
      <c r="BH352" s="2" t="s">
        <v>6370</v>
      </c>
      <c r="BI352" s="2" t="str">
        <f>HYPERLINK("https%3A%2F%2Fwww.webofscience.com%2Fwos%2Fwoscc%2Ffull-record%2FWOS:A1995RV43000002","View Full Record in Web of Science")</f>
        <v>View Full Record in Web of Science</v>
      </c>
    </row>
    <row r="353" spans="1:61" customFormat="1" ht="12.75" x14ac:dyDescent="0.2">
      <c r="A353" s="1">
        <v>350</v>
      </c>
      <c r="B353" s="1" t="s">
        <v>1068</v>
      </c>
      <c r="C353" s="1" t="s">
        <v>6371</v>
      </c>
      <c r="D353" s="2" t="s">
        <v>6372</v>
      </c>
      <c r="E353" s="2" t="s">
        <v>86</v>
      </c>
      <c r="F353" s="2" t="s">
        <v>86</v>
      </c>
      <c r="G353" s="2" t="s">
        <v>200</v>
      </c>
      <c r="H353" s="2" t="s">
        <v>6373</v>
      </c>
      <c r="I353" s="2" t="s">
        <v>6374</v>
      </c>
      <c r="J353" s="2" t="s">
        <v>4856</v>
      </c>
      <c r="K353" s="2" t="s">
        <v>68</v>
      </c>
      <c r="L353" s="2" t="s">
        <v>6375</v>
      </c>
      <c r="M353" s="2" t="s">
        <v>6376</v>
      </c>
      <c r="N353" s="2" t="s">
        <v>6377</v>
      </c>
      <c r="O353" s="2" t="s">
        <v>6378</v>
      </c>
      <c r="P353" s="2" t="s">
        <v>6379</v>
      </c>
      <c r="Q353" s="2" t="s">
        <v>6380</v>
      </c>
      <c r="R353" s="2" t="s">
        <v>6381</v>
      </c>
      <c r="S353" s="2" t="s">
        <v>86</v>
      </c>
      <c r="T353" s="2" t="s">
        <v>86</v>
      </c>
      <c r="U353" s="2" t="s">
        <v>86</v>
      </c>
      <c r="V353" s="2" t="s">
        <v>86</v>
      </c>
      <c r="W353" s="2" t="s">
        <v>80</v>
      </c>
      <c r="X353" s="4">
        <v>10</v>
      </c>
      <c r="Y353" s="4">
        <v>5</v>
      </c>
      <c r="Z353" s="4">
        <v>5</v>
      </c>
      <c r="AA353" s="4">
        <v>0</v>
      </c>
      <c r="AB353" s="4">
        <v>3</v>
      </c>
      <c r="AC353" s="2" t="s">
        <v>4864</v>
      </c>
      <c r="AD353" s="2" t="s">
        <v>4575</v>
      </c>
      <c r="AE353" s="2" t="s">
        <v>4865</v>
      </c>
      <c r="AF353" s="2" t="s">
        <v>4866</v>
      </c>
      <c r="AG353" s="2" t="s">
        <v>4867</v>
      </c>
      <c r="AH353" s="2" t="s">
        <v>86</v>
      </c>
      <c r="AI353" s="2" t="s">
        <v>4868</v>
      </c>
      <c r="AJ353" s="2" t="s">
        <v>4869</v>
      </c>
      <c r="AK353" s="2" t="s">
        <v>1458</v>
      </c>
      <c r="AL353" s="4">
        <v>2009</v>
      </c>
      <c r="AM353" s="4">
        <v>19</v>
      </c>
      <c r="AN353" s="4">
        <v>7</v>
      </c>
      <c r="AO353" s="2" t="s">
        <v>86</v>
      </c>
      <c r="AP353" s="2" t="s">
        <v>86</v>
      </c>
      <c r="AQ353" s="2" t="s">
        <v>86</v>
      </c>
      <c r="AR353" s="2" t="s">
        <v>86</v>
      </c>
      <c r="AS353" s="4">
        <v>452</v>
      </c>
      <c r="AT353" s="4">
        <v>453</v>
      </c>
      <c r="AU353" s="2" t="s">
        <v>86</v>
      </c>
      <c r="AV353" s="2" t="s">
        <v>86</v>
      </c>
      <c r="AW353" s="2" t="s">
        <v>86</v>
      </c>
      <c r="AX353" s="4">
        <v>2</v>
      </c>
      <c r="AY353" s="2" t="s">
        <v>4870</v>
      </c>
      <c r="AZ353" s="2" t="s">
        <v>92</v>
      </c>
      <c r="BA353" s="2" t="s">
        <v>4871</v>
      </c>
      <c r="BB353" s="2" t="s">
        <v>6382</v>
      </c>
      <c r="BC353" s="4">
        <v>19576157</v>
      </c>
      <c r="BD353" s="2" t="s">
        <v>86</v>
      </c>
      <c r="BE353" s="2" t="s">
        <v>86</v>
      </c>
      <c r="BF353" s="2" t="s">
        <v>86</v>
      </c>
      <c r="BG353" s="2" t="s">
        <v>95</v>
      </c>
      <c r="BH353" s="2" t="s">
        <v>6383</v>
      </c>
      <c r="BI353" s="2" t="str">
        <f>HYPERLINK("https%3A%2F%2Fwww.webofscience.com%2Fwos%2Fwoscc%2Ffull-record%2FWOS:000269133600015","View Full Record in Web of Science")</f>
        <v>View Full Record in Web of Science</v>
      </c>
    </row>
    <row r="354" spans="1:61" customFormat="1" ht="12.75" x14ac:dyDescent="0.2">
      <c r="A354" s="1">
        <v>351</v>
      </c>
      <c r="B354" s="1" t="s">
        <v>1068</v>
      </c>
      <c r="C354" s="1" t="s">
        <v>6384</v>
      </c>
      <c r="D354" s="2" t="s">
        <v>6385</v>
      </c>
      <c r="E354" s="2" t="s">
        <v>6386</v>
      </c>
      <c r="F354" s="3" t="str">
        <f>HYPERLINK("http://dx.doi.org/10.1016/0025-326X(91)90713-3","http://dx.doi.org/10.1016/0025-326X(91)90713-3")</f>
        <v>http://dx.doi.org/10.1016/0025-326X(91)90713-3</v>
      </c>
      <c r="G354" s="2" t="s">
        <v>200</v>
      </c>
      <c r="H354" s="2" t="s">
        <v>6387</v>
      </c>
      <c r="I354" s="2" t="s">
        <v>6387</v>
      </c>
      <c r="J354" s="2" t="s">
        <v>424</v>
      </c>
      <c r="K354" s="2" t="s">
        <v>68</v>
      </c>
      <c r="L354" s="2" t="s">
        <v>86</v>
      </c>
      <c r="M354" s="2" t="s">
        <v>6388</v>
      </c>
      <c r="N354" s="2" t="s">
        <v>6389</v>
      </c>
      <c r="O354" s="2" t="s">
        <v>6390</v>
      </c>
      <c r="P354" s="2" t="s">
        <v>6391</v>
      </c>
      <c r="Q354" s="2" t="s">
        <v>86</v>
      </c>
      <c r="R354" s="2" t="s">
        <v>86</v>
      </c>
      <c r="S354" s="2" t="s">
        <v>86</v>
      </c>
      <c r="T354" s="2" t="s">
        <v>86</v>
      </c>
      <c r="U354" s="2" t="s">
        <v>86</v>
      </c>
      <c r="V354" s="2" t="s">
        <v>86</v>
      </c>
      <c r="W354" s="2" t="s">
        <v>80</v>
      </c>
      <c r="X354" s="4">
        <v>11</v>
      </c>
      <c r="Y354" s="4">
        <v>78</v>
      </c>
      <c r="Z354" s="4">
        <v>79</v>
      </c>
      <c r="AA354" s="4">
        <v>1</v>
      </c>
      <c r="AB354" s="4">
        <v>31</v>
      </c>
      <c r="AC354" s="2" t="s">
        <v>237</v>
      </c>
      <c r="AD354" s="2" t="s">
        <v>115</v>
      </c>
      <c r="AE354" s="2" t="s">
        <v>238</v>
      </c>
      <c r="AF354" s="2" t="s">
        <v>436</v>
      </c>
      <c r="AG354" s="2" t="s">
        <v>437</v>
      </c>
      <c r="AH354" s="2" t="s">
        <v>86</v>
      </c>
      <c r="AI354" s="2" t="s">
        <v>438</v>
      </c>
      <c r="AJ354" s="2" t="s">
        <v>439</v>
      </c>
      <c r="AK354" s="2" t="s">
        <v>86</v>
      </c>
      <c r="AL354" s="4">
        <v>1991</v>
      </c>
      <c r="AM354" s="4">
        <v>23</v>
      </c>
      <c r="AN354" s="2" t="s">
        <v>86</v>
      </c>
      <c r="AO354" s="2" t="s">
        <v>86</v>
      </c>
      <c r="AP354" s="2" t="s">
        <v>86</v>
      </c>
      <c r="AQ354" s="2" t="s">
        <v>86</v>
      </c>
      <c r="AR354" s="2" t="s">
        <v>86</v>
      </c>
      <c r="AS354" s="4">
        <v>437</v>
      </c>
      <c r="AT354" s="4">
        <v>441</v>
      </c>
      <c r="AU354" s="2" t="s">
        <v>86</v>
      </c>
      <c r="AV354" s="2" t="s">
        <v>86</v>
      </c>
      <c r="AW354" s="2" t="s">
        <v>86</v>
      </c>
      <c r="AX354" s="4">
        <v>5</v>
      </c>
      <c r="AY354" s="2" t="s">
        <v>441</v>
      </c>
      <c r="AZ354" s="2" t="s">
        <v>92</v>
      </c>
      <c r="BA354" s="2" t="s">
        <v>442</v>
      </c>
      <c r="BB354" s="2" t="s">
        <v>6392</v>
      </c>
      <c r="BC354" s="2" t="s">
        <v>86</v>
      </c>
      <c r="BD354" s="2" t="s">
        <v>86</v>
      </c>
      <c r="BE354" s="2" t="s">
        <v>86</v>
      </c>
      <c r="BF354" s="2" t="s">
        <v>86</v>
      </c>
      <c r="BG354" s="2" t="s">
        <v>95</v>
      </c>
      <c r="BH354" s="2" t="s">
        <v>6393</v>
      </c>
      <c r="BI354" s="2" t="str">
        <f>HYPERLINK("https%3A%2F%2Fwww.webofscience.com%2Fwos%2Fwoscc%2Ffull-record%2FWOS:A1991FJ01200077","View Full Record in Web of Science")</f>
        <v>View Full Record in Web of Science</v>
      </c>
    </row>
    <row r="355" spans="1:61" customFormat="1" ht="12.75" x14ac:dyDescent="0.2">
      <c r="A355" s="1">
        <v>352</v>
      </c>
      <c r="B355" s="1" t="s">
        <v>1068</v>
      </c>
      <c r="C355" s="1" t="s">
        <v>6394</v>
      </c>
      <c r="D355" s="2" t="s">
        <v>6395</v>
      </c>
      <c r="E355" s="2" t="s">
        <v>6396</v>
      </c>
      <c r="F355" s="3" t="str">
        <f>HYPERLINK("http://dx.doi.org/10.1080/14488353.2022.2083408","http://dx.doi.org/10.1080/14488353.2022.2083408")</f>
        <v>http://dx.doi.org/10.1080/14488353.2022.2083408</v>
      </c>
      <c r="G355" s="2" t="s">
        <v>642</v>
      </c>
      <c r="H355" s="2" t="s">
        <v>6397</v>
      </c>
      <c r="I355" s="2" t="s">
        <v>6398</v>
      </c>
      <c r="J355" s="2" t="s">
        <v>6399</v>
      </c>
      <c r="K355" s="2" t="s">
        <v>68</v>
      </c>
      <c r="L355" s="2" t="s">
        <v>6400</v>
      </c>
      <c r="M355" s="2" t="s">
        <v>6401</v>
      </c>
      <c r="N355" s="2" t="s">
        <v>6402</v>
      </c>
      <c r="O355" s="2" t="s">
        <v>6403</v>
      </c>
      <c r="P355" s="2" t="s">
        <v>6404</v>
      </c>
      <c r="Q355" s="2" t="s">
        <v>6405</v>
      </c>
      <c r="R355" s="2" t="s">
        <v>6406</v>
      </c>
      <c r="S355" s="2" t="s">
        <v>6407</v>
      </c>
      <c r="T355" s="2" t="s">
        <v>86</v>
      </c>
      <c r="U355" s="2" t="s">
        <v>86</v>
      </c>
      <c r="V355" s="2" t="s">
        <v>86</v>
      </c>
      <c r="W355" s="2" t="s">
        <v>80</v>
      </c>
      <c r="X355" s="4">
        <v>61</v>
      </c>
      <c r="Y355" s="4">
        <v>1</v>
      </c>
      <c r="Z355" s="4">
        <v>1</v>
      </c>
      <c r="AA355" s="4">
        <v>0</v>
      </c>
      <c r="AB355" s="4">
        <v>1</v>
      </c>
      <c r="AC355" s="2" t="s">
        <v>286</v>
      </c>
      <c r="AD355" s="2" t="s">
        <v>287</v>
      </c>
      <c r="AE355" s="2" t="s">
        <v>288</v>
      </c>
      <c r="AF355" s="2" t="s">
        <v>6408</v>
      </c>
      <c r="AG355" s="2" t="s">
        <v>6409</v>
      </c>
      <c r="AH355" s="2" t="s">
        <v>86</v>
      </c>
      <c r="AI355" s="2" t="s">
        <v>6410</v>
      </c>
      <c r="AJ355" s="2" t="s">
        <v>6411</v>
      </c>
      <c r="AK355" s="2" t="s">
        <v>6412</v>
      </c>
      <c r="AL355" s="4">
        <v>2022</v>
      </c>
      <c r="AM355" s="2" t="s">
        <v>86</v>
      </c>
      <c r="AN355" s="2" t="s">
        <v>86</v>
      </c>
      <c r="AO355" s="2" t="s">
        <v>86</v>
      </c>
      <c r="AP355" s="2" t="s">
        <v>86</v>
      </c>
      <c r="AQ355" s="2" t="s">
        <v>86</v>
      </c>
      <c r="AR355" s="2" t="s">
        <v>86</v>
      </c>
      <c r="AS355" s="2" t="s">
        <v>86</v>
      </c>
      <c r="AT355" s="2" t="s">
        <v>86</v>
      </c>
      <c r="AU355" s="2" t="s">
        <v>86</v>
      </c>
      <c r="AV355" s="2" t="s">
        <v>86</v>
      </c>
      <c r="AW355" s="2" t="s">
        <v>1289</v>
      </c>
      <c r="AX355" s="4">
        <v>16</v>
      </c>
      <c r="AY355" s="2" t="s">
        <v>6413</v>
      </c>
      <c r="AZ355" s="2" t="s">
        <v>171</v>
      </c>
      <c r="BA355" s="2" t="s">
        <v>345</v>
      </c>
      <c r="BB355" s="2" t="s">
        <v>6414</v>
      </c>
      <c r="BC355" s="2" t="s">
        <v>86</v>
      </c>
      <c r="BD355" s="2" t="s">
        <v>86</v>
      </c>
      <c r="BE355" s="2" t="s">
        <v>86</v>
      </c>
      <c r="BF355" s="2" t="s">
        <v>86</v>
      </c>
      <c r="BG355" s="2" t="s">
        <v>95</v>
      </c>
      <c r="BH355" s="2" t="s">
        <v>6415</v>
      </c>
      <c r="BI355" s="2" t="str">
        <f>HYPERLINK("https%3A%2F%2Fwww.webofscience.com%2Fwos%2Fwoscc%2Ffull-record%2FWOS:000805263700001","View Full Record in Web of Science")</f>
        <v>View Full Record in Web of Science</v>
      </c>
    </row>
    <row r="356" spans="1:61" customFormat="1" ht="12.75" x14ac:dyDescent="0.2">
      <c r="A356" s="1">
        <v>353</v>
      </c>
      <c r="B356" s="1" t="s">
        <v>1068</v>
      </c>
      <c r="C356" s="1" t="s">
        <v>6416</v>
      </c>
      <c r="D356" s="2" t="s">
        <v>6417</v>
      </c>
      <c r="E356" s="2" t="s">
        <v>6418</v>
      </c>
      <c r="F356" s="3" t="str">
        <f>HYPERLINK("http://dx.doi.org/10.1002/pc.22905","http://dx.doi.org/10.1002/pc.22905")</f>
        <v>http://dx.doi.org/10.1002/pc.22905</v>
      </c>
      <c r="G356" s="2" t="s">
        <v>200</v>
      </c>
      <c r="H356" s="2" t="s">
        <v>6419</v>
      </c>
      <c r="I356" s="2" t="s">
        <v>6420</v>
      </c>
      <c r="J356" s="2" t="s">
        <v>4949</v>
      </c>
      <c r="K356" s="2" t="s">
        <v>68</v>
      </c>
      <c r="L356" s="2" t="s">
        <v>86</v>
      </c>
      <c r="M356" s="2" t="s">
        <v>6421</v>
      </c>
      <c r="N356" s="2" t="s">
        <v>6422</v>
      </c>
      <c r="O356" s="2" t="s">
        <v>6423</v>
      </c>
      <c r="P356" s="2" t="s">
        <v>6424</v>
      </c>
      <c r="Q356" s="2" t="s">
        <v>6425</v>
      </c>
      <c r="R356" s="2" t="s">
        <v>6092</v>
      </c>
      <c r="S356" s="2" t="s">
        <v>6093</v>
      </c>
      <c r="T356" s="2" t="s">
        <v>6426</v>
      </c>
      <c r="U356" s="2" t="s">
        <v>6427</v>
      </c>
      <c r="V356" s="2" t="s">
        <v>6428</v>
      </c>
      <c r="W356" s="2" t="s">
        <v>80</v>
      </c>
      <c r="X356" s="4">
        <v>53</v>
      </c>
      <c r="Y356" s="4">
        <v>0</v>
      </c>
      <c r="Z356" s="4">
        <v>0</v>
      </c>
      <c r="AA356" s="4">
        <v>0</v>
      </c>
      <c r="AB356" s="4">
        <v>33</v>
      </c>
      <c r="AC356" s="2" t="s">
        <v>956</v>
      </c>
      <c r="AD356" s="2" t="s">
        <v>957</v>
      </c>
      <c r="AE356" s="2" t="s">
        <v>958</v>
      </c>
      <c r="AF356" s="2" t="s">
        <v>4960</v>
      </c>
      <c r="AG356" s="2" t="s">
        <v>4961</v>
      </c>
      <c r="AH356" s="2" t="s">
        <v>86</v>
      </c>
      <c r="AI356" s="2" t="s">
        <v>4962</v>
      </c>
      <c r="AJ356" s="2" t="s">
        <v>4963</v>
      </c>
      <c r="AK356" s="2" t="s">
        <v>217</v>
      </c>
      <c r="AL356" s="4">
        <v>2014</v>
      </c>
      <c r="AM356" s="4">
        <v>35</v>
      </c>
      <c r="AN356" s="4">
        <v>12</v>
      </c>
      <c r="AO356" s="2" t="s">
        <v>86</v>
      </c>
      <c r="AP356" s="2" t="s">
        <v>86</v>
      </c>
      <c r="AQ356" s="2" t="s">
        <v>86</v>
      </c>
      <c r="AR356" s="2" t="s">
        <v>86</v>
      </c>
      <c r="AS356" s="4">
        <v>2376</v>
      </c>
      <c r="AT356" s="4">
        <v>2389</v>
      </c>
      <c r="AU356" s="2" t="s">
        <v>86</v>
      </c>
      <c r="AV356" s="2" t="s">
        <v>86</v>
      </c>
      <c r="AW356" s="2" t="s">
        <v>86</v>
      </c>
      <c r="AX356" s="4">
        <v>14</v>
      </c>
      <c r="AY356" s="2" t="s">
        <v>4964</v>
      </c>
      <c r="AZ356" s="2" t="s">
        <v>92</v>
      </c>
      <c r="BA356" s="2" t="s">
        <v>4304</v>
      </c>
      <c r="BB356" s="2" t="s">
        <v>6429</v>
      </c>
      <c r="BC356" s="2" t="s">
        <v>86</v>
      </c>
      <c r="BD356" s="2" t="s">
        <v>86</v>
      </c>
      <c r="BE356" s="2" t="s">
        <v>86</v>
      </c>
      <c r="BF356" s="2" t="s">
        <v>86</v>
      </c>
      <c r="BG356" s="2" t="s">
        <v>95</v>
      </c>
      <c r="BH356" s="2" t="s">
        <v>6430</v>
      </c>
      <c r="BI356" s="2" t="str">
        <f>HYPERLINK("https%3A%2F%2Fwww.webofscience.com%2Fwos%2Fwoscc%2Ffull-record%2FWOS:000344392100009","View Full Record in Web of Science")</f>
        <v>View Full Record in Web of Science</v>
      </c>
    </row>
    <row r="357" spans="1:61" customFormat="1" ht="12.75" x14ac:dyDescent="0.2">
      <c r="A357" s="1">
        <v>354</v>
      </c>
      <c r="B357" s="1" t="s">
        <v>1068</v>
      </c>
      <c r="C357" s="1" t="s">
        <v>6431</v>
      </c>
      <c r="D357" s="2" t="s">
        <v>6432</v>
      </c>
      <c r="E357" s="2" t="s">
        <v>6433</v>
      </c>
      <c r="F357" s="3" t="str">
        <f>HYPERLINK("http://dx.doi.org/10.1016/j.enconman.2005.08.014","http://dx.doi.org/10.1016/j.enconman.2005.08.014")</f>
        <v>http://dx.doi.org/10.1016/j.enconman.2005.08.014</v>
      </c>
      <c r="G357" s="2" t="s">
        <v>200</v>
      </c>
      <c r="H357" s="2" t="s">
        <v>6434</v>
      </c>
      <c r="I357" s="2" t="s">
        <v>6434</v>
      </c>
      <c r="J357" s="2" t="s">
        <v>6025</v>
      </c>
      <c r="K357" s="2" t="s">
        <v>68</v>
      </c>
      <c r="L357" s="2" t="s">
        <v>6435</v>
      </c>
      <c r="M357" s="2" t="s">
        <v>6436</v>
      </c>
      <c r="N357" s="2" t="s">
        <v>6437</v>
      </c>
      <c r="O357" s="2" t="s">
        <v>309</v>
      </c>
      <c r="P357" s="2" t="s">
        <v>6438</v>
      </c>
      <c r="Q357" s="2" t="s">
        <v>6439</v>
      </c>
      <c r="R357" s="2" t="s">
        <v>6440</v>
      </c>
      <c r="S357" s="2" t="s">
        <v>86</v>
      </c>
      <c r="T357" s="2" t="s">
        <v>86</v>
      </c>
      <c r="U357" s="2" t="s">
        <v>86</v>
      </c>
      <c r="V357" s="2" t="s">
        <v>86</v>
      </c>
      <c r="W357" s="2" t="s">
        <v>80</v>
      </c>
      <c r="X357" s="4">
        <v>50</v>
      </c>
      <c r="Y357" s="4">
        <v>75</v>
      </c>
      <c r="Z357" s="4">
        <v>75</v>
      </c>
      <c r="AA357" s="4">
        <v>2</v>
      </c>
      <c r="AB357" s="4">
        <v>44</v>
      </c>
      <c r="AC357" s="2" t="s">
        <v>237</v>
      </c>
      <c r="AD357" s="2" t="s">
        <v>115</v>
      </c>
      <c r="AE357" s="2" t="s">
        <v>238</v>
      </c>
      <c r="AF357" s="2" t="s">
        <v>6035</v>
      </c>
      <c r="AG357" s="2" t="s">
        <v>6036</v>
      </c>
      <c r="AH357" s="2" t="s">
        <v>86</v>
      </c>
      <c r="AI357" s="2" t="s">
        <v>6037</v>
      </c>
      <c r="AJ357" s="2" t="s">
        <v>6038</v>
      </c>
      <c r="AK357" s="2" t="s">
        <v>1458</v>
      </c>
      <c r="AL357" s="4">
        <v>2006</v>
      </c>
      <c r="AM357" s="4">
        <v>47</v>
      </c>
      <c r="AN357" s="2" t="s">
        <v>6441</v>
      </c>
      <c r="AO357" s="2" t="s">
        <v>86</v>
      </c>
      <c r="AP357" s="2" t="s">
        <v>86</v>
      </c>
      <c r="AQ357" s="2" t="s">
        <v>86</v>
      </c>
      <c r="AR357" s="2" t="s">
        <v>86</v>
      </c>
      <c r="AS357" s="4">
        <v>1326</v>
      </c>
      <c r="AT357" s="4">
        <v>1337</v>
      </c>
      <c r="AU357" s="2" t="s">
        <v>86</v>
      </c>
      <c r="AV357" s="2" t="s">
        <v>86</v>
      </c>
      <c r="AW357" s="2" t="s">
        <v>86</v>
      </c>
      <c r="AX357" s="4">
        <v>12</v>
      </c>
      <c r="AY357" s="2" t="s">
        <v>6039</v>
      </c>
      <c r="AZ357" s="2" t="s">
        <v>92</v>
      </c>
      <c r="BA357" s="2" t="s">
        <v>6039</v>
      </c>
      <c r="BB357" s="2" t="s">
        <v>6442</v>
      </c>
      <c r="BC357" s="2" t="s">
        <v>86</v>
      </c>
      <c r="BD357" s="2" t="s">
        <v>86</v>
      </c>
      <c r="BE357" s="2" t="s">
        <v>86</v>
      </c>
      <c r="BF357" s="2" t="s">
        <v>86</v>
      </c>
      <c r="BG357" s="2" t="s">
        <v>95</v>
      </c>
      <c r="BH357" s="2" t="s">
        <v>6443</v>
      </c>
      <c r="BI357" s="2" t="str">
        <f>HYPERLINK("https%3A%2F%2Fwww.webofscience.com%2Fwos%2Fwoscc%2Ffull-record%2FWOS:000236522200002","View Full Record in Web of Science")</f>
        <v>View Full Record in Web of Science</v>
      </c>
    </row>
    <row r="358" spans="1:61" customFormat="1" ht="12.75" x14ac:dyDescent="0.2">
      <c r="A358" s="1">
        <v>355</v>
      </c>
      <c r="B358" s="1" t="s">
        <v>1068</v>
      </c>
      <c r="C358" s="1" t="s">
        <v>6444</v>
      </c>
      <c r="D358" s="2" t="s">
        <v>6445</v>
      </c>
      <c r="E358" s="2" t="s">
        <v>86</v>
      </c>
      <c r="F358" s="2" t="s">
        <v>86</v>
      </c>
      <c r="G358" s="2" t="s">
        <v>176</v>
      </c>
      <c r="H358" s="2" t="s">
        <v>6446</v>
      </c>
      <c r="I358" s="2" t="s">
        <v>6447</v>
      </c>
      <c r="J358" s="2" t="s">
        <v>6448</v>
      </c>
      <c r="K358" s="2" t="s">
        <v>68</v>
      </c>
      <c r="L358" s="2" t="s">
        <v>6449</v>
      </c>
      <c r="M358" s="2" t="s">
        <v>6450</v>
      </c>
      <c r="N358" s="2" t="s">
        <v>6451</v>
      </c>
      <c r="O358" s="2" t="s">
        <v>309</v>
      </c>
      <c r="P358" s="2" t="s">
        <v>6452</v>
      </c>
      <c r="Q358" s="2" t="s">
        <v>6453</v>
      </c>
      <c r="R358" s="2" t="s">
        <v>6454</v>
      </c>
      <c r="S358" s="2" t="s">
        <v>6455</v>
      </c>
      <c r="T358" s="2" t="s">
        <v>86</v>
      </c>
      <c r="U358" s="2" t="s">
        <v>86</v>
      </c>
      <c r="V358" s="2" t="s">
        <v>86</v>
      </c>
      <c r="W358" s="2" t="s">
        <v>188</v>
      </c>
      <c r="X358" s="4">
        <v>179</v>
      </c>
      <c r="Y358" s="4">
        <v>13</v>
      </c>
      <c r="Z358" s="4">
        <v>13</v>
      </c>
      <c r="AA358" s="4">
        <v>1</v>
      </c>
      <c r="AB358" s="4">
        <v>9</v>
      </c>
      <c r="AC358" s="2" t="s">
        <v>6456</v>
      </c>
      <c r="AD358" s="2" t="s">
        <v>6457</v>
      </c>
      <c r="AE358" s="2" t="s">
        <v>6458</v>
      </c>
      <c r="AF358" s="2" t="s">
        <v>86</v>
      </c>
      <c r="AG358" s="2" t="s">
        <v>86</v>
      </c>
      <c r="AH358" s="2" t="s">
        <v>6459</v>
      </c>
      <c r="AI358" s="2" t="s">
        <v>86</v>
      </c>
      <c r="AJ358" s="2" t="s">
        <v>86</v>
      </c>
      <c r="AK358" s="2" t="s">
        <v>86</v>
      </c>
      <c r="AL358" s="4">
        <v>2015</v>
      </c>
      <c r="AM358" s="2" t="s">
        <v>86</v>
      </c>
      <c r="AN358" s="2" t="s">
        <v>86</v>
      </c>
      <c r="AO358" s="2" t="s">
        <v>86</v>
      </c>
      <c r="AP358" s="2" t="s">
        <v>86</v>
      </c>
      <c r="AQ358" s="2" t="s">
        <v>86</v>
      </c>
      <c r="AR358" s="2" t="s">
        <v>86</v>
      </c>
      <c r="AS358" s="4">
        <v>83</v>
      </c>
      <c r="AT358" s="4">
        <v>117</v>
      </c>
      <c r="AU358" s="2" t="s">
        <v>86</v>
      </c>
      <c r="AV358" s="2" t="s">
        <v>6460</v>
      </c>
      <c r="AW358" s="2" t="s">
        <v>86</v>
      </c>
      <c r="AX358" s="4">
        <v>35</v>
      </c>
      <c r="AY358" s="2" t="s">
        <v>6461</v>
      </c>
      <c r="AZ358" s="2" t="s">
        <v>194</v>
      </c>
      <c r="BA358" s="2" t="s">
        <v>6462</v>
      </c>
      <c r="BB358" s="2" t="s">
        <v>6463</v>
      </c>
      <c r="BC358" s="2" t="s">
        <v>86</v>
      </c>
      <c r="BD358" s="2" t="s">
        <v>86</v>
      </c>
      <c r="BE358" s="2" t="s">
        <v>86</v>
      </c>
      <c r="BF358" s="2" t="s">
        <v>86</v>
      </c>
      <c r="BG358" s="2" t="s">
        <v>95</v>
      </c>
      <c r="BH358" s="2" t="s">
        <v>6464</v>
      </c>
      <c r="BI358" s="2" t="str">
        <f>HYPERLINK("https%3A%2F%2Fwww.webofscience.com%2Fwos%2Fwoscc%2Ffull-record%2FWOS:000449998200004","View Full Record in Web of Science")</f>
        <v>View Full Record in Web of Science</v>
      </c>
    </row>
    <row r="359" spans="1:61" customFormat="1" ht="12.75" x14ac:dyDescent="0.2">
      <c r="A359" s="1">
        <v>356</v>
      </c>
      <c r="B359" s="1" t="s">
        <v>1068</v>
      </c>
      <c r="C359" s="1" t="s">
        <v>6465</v>
      </c>
      <c r="D359" s="2" t="s">
        <v>6466</v>
      </c>
      <c r="E359" s="2" t="s">
        <v>6467</v>
      </c>
      <c r="F359" s="3" t="str">
        <f>HYPERLINK("http://dx.doi.org/10.1016/j.apr.2020.05.016","http://dx.doi.org/10.1016/j.apr.2020.05.016")</f>
        <v>http://dx.doi.org/10.1016/j.apr.2020.05.016</v>
      </c>
      <c r="G359" s="2" t="s">
        <v>200</v>
      </c>
      <c r="H359" s="2" t="s">
        <v>6468</v>
      </c>
      <c r="I359" s="2" t="s">
        <v>6469</v>
      </c>
      <c r="J359" s="2" t="s">
        <v>6470</v>
      </c>
      <c r="K359" s="2" t="s">
        <v>68</v>
      </c>
      <c r="L359" s="2" t="s">
        <v>6471</v>
      </c>
      <c r="M359" s="2" t="s">
        <v>6472</v>
      </c>
      <c r="N359" s="2" t="s">
        <v>6473</v>
      </c>
      <c r="O359" s="2" t="s">
        <v>2984</v>
      </c>
      <c r="P359" s="2" t="s">
        <v>6474</v>
      </c>
      <c r="Q359" s="2" t="s">
        <v>6475</v>
      </c>
      <c r="R359" s="2" t="s">
        <v>6476</v>
      </c>
      <c r="S359" s="2" t="s">
        <v>6477</v>
      </c>
      <c r="T359" s="2" t="s">
        <v>6478</v>
      </c>
      <c r="U359" s="2" t="s">
        <v>6478</v>
      </c>
      <c r="V359" s="2" t="s">
        <v>6479</v>
      </c>
      <c r="W359" s="2" t="s">
        <v>80</v>
      </c>
      <c r="X359" s="4">
        <v>23</v>
      </c>
      <c r="Y359" s="4">
        <v>2</v>
      </c>
      <c r="Z359" s="4">
        <v>2</v>
      </c>
      <c r="AA359" s="4">
        <v>0</v>
      </c>
      <c r="AB359" s="4">
        <v>9</v>
      </c>
      <c r="AC359" s="2" t="s">
        <v>6480</v>
      </c>
      <c r="AD359" s="2" t="s">
        <v>6481</v>
      </c>
      <c r="AE359" s="2" t="s">
        <v>6482</v>
      </c>
      <c r="AF359" s="2" t="s">
        <v>6483</v>
      </c>
      <c r="AG359" s="2" t="s">
        <v>86</v>
      </c>
      <c r="AH359" s="2" t="s">
        <v>86</v>
      </c>
      <c r="AI359" s="2" t="s">
        <v>6484</v>
      </c>
      <c r="AJ359" s="2" t="s">
        <v>6485</v>
      </c>
      <c r="AK359" s="2" t="s">
        <v>217</v>
      </c>
      <c r="AL359" s="4">
        <v>2020</v>
      </c>
      <c r="AM359" s="4">
        <v>11</v>
      </c>
      <c r="AN359" s="4">
        <v>12</v>
      </c>
      <c r="AO359" s="2" t="s">
        <v>86</v>
      </c>
      <c r="AP359" s="2" t="s">
        <v>86</v>
      </c>
      <c r="AQ359" s="2" t="s">
        <v>963</v>
      </c>
      <c r="AR359" s="2" t="s">
        <v>86</v>
      </c>
      <c r="AS359" s="4">
        <v>2182</v>
      </c>
      <c r="AT359" s="4">
        <v>2189</v>
      </c>
      <c r="AU359" s="2" t="s">
        <v>86</v>
      </c>
      <c r="AV359" s="2" t="s">
        <v>86</v>
      </c>
      <c r="AW359" s="2" t="s">
        <v>86</v>
      </c>
      <c r="AX359" s="4">
        <v>8</v>
      </c>
      <c r="AY359" s="2" t="s">
        <v>91</v>
      </c>
      <c r="AZ359" s="2" t="s">
        <v>92</v>
      </c>
      <c r="BA359" s="2" t="s">
        <v>93</v>
      </c>
      <c r="BB359" s="2" t="s">
        <v>6486</v>
      </c>
      <c r="BC359" s="2" t="s">
        <v>86</v>
      </c>
      <c r="BD359" s="2" t="s">
        <v>86</v>
      </c>
      <c r="BE359" s="2" t="s">
        <v>86</v>
      </c>
      <c r="BF359" s="2" t="s">
        <v>86</v>
      </c>
      <c r="BG359" s="2" t="s">
        <v>95</v>
      </c>
      <c r="BH359" s="2" t="s">
        <v>6487</v>
      </c>
      <c r="BI359" s="2" t="str">
        <f>HYPERLINK("https%3A%2F%2Fwww.webofscience.com%2Fwos%2Fwoscc%2Ffull-record%2FWOS:000602506400013","View Full Record in Web of Science")</f>
        <v>View Full Record in Web of Science</v>
      </c>
    </row>
    <row r="360" spans="1:61" customFormat="1" ht="12.75" x14ac:dyDescent="0.2">
      <c r="A360" s="1">
        <v>357</v>
      </c>
      <c r="B360" s="1" t="s">
        <v>1068</v>
      </c>
      <c r="C360" s="1" t="s">
        <v>6488</v>
      </c>
      <c r="D360" s="2" t="s">
        <v>6489</v>
      </c>
      <c r="E360" s="2" t="s">
        <v>6490</v>
      </c>
      <c r="F360" s="3" t="str">
        <f>HYPERLINK("http://dx.doi.org/10.1080/08920753.2021.1875391","http://dx.doi.org/10.1080/08920753.2021.1875391")</f>
        <v>http://dx.doi.org/10.1080/08920753.2021.1875391</v>
      </c>
      <c r="G360" s="2" t="s">
        <v>200</v>
      </c>
      <c r="H360" s="2" t="s">
        <v>6491</v>
      </c>
      <c r="I360" s="2" t="s">
        <v>6492</v>
      </c>
      <c r="J360" s="2" t="s">
        <v>6493</v>
      </c>
      <c r="K360" s="2" t="s">
        <v>68</v>
      </c>
      <c r="L360" s="2" t="s">
        <v>6494</v>
      </c>
      <c r="M360" s="2" t="s">
        <v>86</v>
      </c>
      <c r="N360" s="2" t="s">
        <v>6495</v>
      </c>
      <c r="O360" s="2" t="s">
        <v>6496</v>
      </c>
      <c r="P360" s="2" t="s">
        <v>6497</v>
      </c>
      <c r="Q360" s="2" t="s">
        <v>6498</v>
      </c>
      <c r="R360" s="2" t="s">
        <v>86</v>
      </c>
      <c r="S360" s="2" t="s">
        <v>6499</v>
      </c>
      <c r="T360" s="2" t="s">
        <v>86</v>
      </c>
      <c r="U360" s="2" t="s">
        <v>86</v>
      </c>
      <c r="V360" s="2" t="s">
        <v>86</v>
      </c>
      <c r="W360" s="2" t="s">
        <v>80</v>
      </c>
      <c r="X360" s="4">
        <v>58</v>
      </c>
      <c r="Y360" s="4">
        <v>0</v>
      </c>
      <c r="Z360" s="4">
        <v>0</v>
      </c>
      <c r="AA360" s="4">
        <v>0</v>
      </c>
      <c r="AB360" s="4">
        <v>10</v>
      </c>
      <c r="AC360" s="2" t="s">
        <v>260</v>
      </c>
      <c r="AD360" s="2" t="s">
        <v>261</v>
      </c>
      <c r="AE360" s="2" t="s">
        <v>262</v>
      </c>
      <c r="AF360" s="2" t="s">
        <v>6500</v>
      </c>
      <c r="AG360" s="2" t="s">
        <v>6501</v>
      </c>
      <c r="AH360" s="2" t="s">
        <v>86</v>
      </c>
      <c r="AI360" s="2" t="s">
        <v>6502</v>
      </c>
      <c r="AJ360" s="2" t="s">
        <v>6503</v>
      </c>
      <c r="AK360" s="2" t="s">
        <v>6504</v>
      </c>
      <c r="AL360" s="4">
        <v>2021</v>
      </c>
      <c r="AM360" s="4">
        <v>49</v>
      </c>
      <c r="AN360" s="4">
        <v>2</v>
      </c>
      <c r="AO360" s="2" t="s">
        <v>86</v>
      </c>
      <c r="AP360" s="2" t="s">
        <v>86</v>
      </c>
      <c r="AQ360" s="2" t="s">
        <v>86</v>
      </c>
      <c r="AR360" s="2" t="s">
        <v>86</v>
      </c>
      <c r="AS360" s="4">
        <v>183</v>
      </c>
      <c r="AT360" s="4">
        <v>200</v>
      </c>
      <c r="AU360" s="2" t="s">
        <v>86</v>
      </c>
      <c r="AV360" s="2" t="s">
        <v>86</v>
      </c>
      <c r="AW360" s="2" t="s">
        <v>1592</v>
      </c>
      <c r="AX360" s="4">
        <v>18</v>
      </c>
      <c r="AY360" s="2" t="s">
        <v>6505</v>
      </c>
      <c r="AZ360" s="2" t="s">
        <v>536</v>
      </c>
      <c r="BA360" s="2" t="s">
        <v>93</v>
      </c>
      <c r="BB360" s="2" t="s">
        <v>6506</v>
      </c>
      <c r="BC360" s="2" t="s">
        <v>86</v>
      </c>
      <c r="BD360" s="2" t="s">
        <v>86</v>
      </c>
      <c r="BE360" s="2" t="s">
        <v>86</v>
      </c>
      <c r="BF360" s="2" t="s">
        <v>86</v>
      </c>
      <c r="BG360" s="2" t="s">
        <v>95</v>
      </c>
      <c r="BH360" s="2" t="s">
        <v>6507</v>
      </c>
      <c r="BI360" s="2" t="str">
        <f>HYPERLINK("https%3A%2F%2Fwww.webofscience.com%2Fwos%2Fwoscc%2Ffull-record%2FWOS:000615858500001","View Full Record in Web of Science")</f>
        <v>View Full Record in Web of Science</v>
      </c>
    </row>
    <row r="361" spans="1:61" customFormat="1" ht="12.75" x14ac:dyDescent="0.2">
      <c r="A361" s="1">
        <v>358</v>
      </c>
      <c r="B361" s="1" t="s">
        <v>1068</v>
      </c>
      <c r="C361" s="1" t="s">
        <v>6508</v>
      </c>
      <c r="D361" s="2" t="s">
        <v>6509</v>
      </c>
      <c r="E361" s="2" t="s">
        <v>6510</v>
      </c>
      <c r="F361" s="3" t="str">
        <f>HYPERLINK("http://dx.doi.org/10.1016/j.susmat.2018.e00084","http://dx.doi.org/10.1016/j.susmat.2018.e00084")</f>
        <v>http://dx.doi.org/10.1016/j.susmat.2018.e00084</v>
      </c>
      <c r="G361" s="2" t="s">
        <v>200</v>
      </c>
      <c r="H361" s="2" t="s">
        <v>6511</v>
      </c>
      <c r="I361" s="2" t="s">
        <v>6512</v>
      </c>
      <c r="J361" s="2" t="s">
        <v>6513</v>
      </c>
      <c r="K361" s="2" t="s">
        <v>68</v>
      </c>
      <c r="L361" s="2" t="s">
        <v>6514</v>
      </c>
      <c r="M361" s="2" t="s">
        <v>6515</v>
      </c>
      <c r="N361" s="2" t="s">
        <v>6516</v>
      </c>
      <c r="O361" s="2" t="s">
        <v>6517</v>
      </c>
      <c r="P361" s="2" t="s">
        <v>6518</v>
      </c>
      <c r="Q361" s="2" t="s">
        <v>6519</v>
      </c>
      <c r="R361" s="2" t="s">
        <v>6520</v>
      </c>
      <c r="S361" s="2" t="s">
        <v>6521</v>
      </c>
      <c r="T361" s="2" t="s">
        <v>86</v>
      </c>
      <c r="U361" s="2" t="s">
        <v>86</v>
      </c>
      <c r="V361" s="2" t="s">
        <v>86</v>
      </c>
      <c r="W361" s="2" t="s">
        <v>80</v>
      </c>
      <c r="X361" s="4">
        <v>83</v>
      </c>
      <c r="Y361" s="4">
        <v>24</v>
      </c>
      <c r="Z361" s="4">
        <v>24</v>
      </c>
      <c r="AA361" s="4">
        <v>5</v>
      </c>
      <c r="AB361" s="4">
        <v>82</v>
      </c>
      <c r="AC361" s="2" t="s">
        <v>585</v>
      </c>
      <c r="AD361" s="2" t="s">
        <v>586</v>
      </c>
      <c r="AE361" s="2" t="s">
        <v>587</v>
      </c>
      <c r="AF361" s="2" t="s">
        <v>6522</v>
      </c>
      <c r="AG361" s="2" t="s">
        <v>86</v>
      </c>
      <c r="AH361" s="2" t="s">
        <v>86</v>
      </c>
      <c r="AI361" s="2" t="s">
        <v>6523</v>
      </c>
      <c r="AJ361" s="2" t="s">
        <v>6524</v>
      </c>
      <c r="AK361" s="2" t="s">
        <v>217</v>
      </c>
      <c r="AL361" s="4">
        <v>2018</v>
      </c>
      <c r="AM361" s="4">
        <v>18</v>
      </c>
      <c r="AN361" s="2" t="s">
        <v>86</v>
      </c>
      <c r="AO361" s="2" t="s">
        <v>86</v>
      </c>
      <c r="AP361" s="2" t="s">
        <v>86</v>
      </c>
      <c r="AQ361" s="2" t="s">
        <v>86</v>
      </c>
      <c r="AR361" s="2" t="s">
        <v>86</v>
      </c>
      <c r="AS361" s="2" t="s">
        <v>86</v>
      </c>
      <c r="AT361" s="2" t="s">
        <v>86</v>
      </c>
      <c r="AU361" s="2" t="s">
        <v>6525</v>
      </c>
      <c r="AV361" s="2" t="s">
        <v>86</v>
      </c>
      <c r="AW361" s="2" t="s">
        <v>86</v>
      </c>
      <c r="AX361" s="4">
        <v>9</v>
      </c>
      <c r="AY361" s="2" t="s">
        <v>6526</v>
      </c>
      <c r="AZ361" s="2" t="s">
        <v>92</v>
      </c>
      <c r="BA361" s="2" t="s">
        <v>6527</v>
      </c>
      <c r="BB361" s="2" t="s">
        <v>6528</v>
      </c>
      <c r="BC361" s="2" t="s">
        <v>86</v>
      </c>
      <c r="BD361" s="2" t="s">
        <v>86</v>
      </c>
      <c r="BE361" s="2" t="s">
        <v>86</v>
      </c>
      <c r="BF361" s="2" t="s">
        <v>86</v>
      </c>
      <c r="BG361" s="2" t="s">
        <v>95</v>
      </c>
      <c r="BH361" s="2" t="s">
        <v>6529</v>
      </c>
      <c r="BI361" s="2" t="str">
        <f>HYPERLINK("https%3A%2F%2Fwww.webofscience.com%2Fwos%2Fwoscc%2Ffull-record%2FWOS:000454081200007","View Full Record in Web of Science")</f>
        <v>View Full Record in Web of Science</v>
      </c>
    </row>
    <row r="362" spans="1:61" customFormat="1" ht="12.75" x14ac:dyDescent="0.2">
      <c r="A362" s="1">
        <v>359</v>
      </c>
      <c r="B362" s="1" t="s">
        <v>1068</v>
      </c>
      <c r="C362" s="1" t="s">
        <v>6530</v>
      </c>
      <c r="D362" s="2" t="s">
        <v>6531</v>
      </c>
      <c r="E362" s="2" t="s">
        <v>6532</v>
      </c>
      <c r="F362" s="3" t="str">
        <f>HYPERLINK("http://dx.doi.org/10.1007/s10661-015-4622-3","http://dx.doi.org/10.1007/s10661-015-4622-3")</f>
        <v>http://dx.doi.org/10.1007/s10661-015-4622-3</v>
      </c>
      <c r="G362" s="2" t="s">
        <v>200</v>
      </c>
      <c r="H362" s="2" t="s">
        <v>6533</v>
      </c>
      <c r="I362" s="2" t="s">
        <v>6534</v>
      </c>
      <c r="J362" s="2" t="s">
        <v>401</v>
      </c>
      <c r="K362" s="2" t="s">
        <v>68</v>
      </c>
      <c r="L362" s="2" t="s">
        <v>6535</v>
      </c>
      <c r="M362" s="2" t="s">
        <v>6536</v>
      </c>
      <c r="N362" s="2" t="s">
        <v>6537</v>
      </c>
      <c r="O362" s="2" t="s">
        <v>6538</v>
      </c>
      <c r="P362" s="2" t="s">
        <v>6539</v>
      </c>
      <c r="Q362" s="2" t="s">
        <v>6540</v>
      </c>
      <c r="R362" s="2" t="s">
        <v>6541</v>
      </c>
      <c r="S362" s="2" t="s">
        <v>6542</v>
      </c>
      <c r="T362" s="2" t="s">
        <v>6543</v>
      </c>
      <c r="U362" s="2" t="s">
        <v>6544</v>
      </c>
      <c r="V362" s="2" t="s">
        <v>6545</v>
      </c>
      <c r="W362" s="2" t="s">
        <v>80</v>
      </c>
      <c r="X362" s="4">
        <v>45</v>
      </c>
      <c r="Y362" s="4">
        <v>20</v>
      </c>
      <c r="Z362" s="4">
        <v>22</v>
      </c>
      <c r="AA362" s="4">
        <v>1</v>
      </c>
      <c r="AB362" s="4">
        <v>43</v>
      </c>
      <c r="AC362" s="2" t="s">
        <v>139</v>
      </c>
      <c r="AD362" s="2" t="s">
        <v>140</v>
      </c>
      <c r="AE362" s="2" t="s">
        <v>141</v>
      </c>
      <c r="AF362" s="2" t="s">
        <v>412</v>
      </c>
      <c r="AG362" s="2" t="s">
        <v>413</v>
      </c>
      <c r="AH362" s="2" t="s">
        <v>86</v>
      </c>
      <c r="AI362" s="2" t="s">
        <v>414</v>
      </c>
      <c r="AJ362" s="2" t="s">
        <v>415</v>
      </c>
      <c r="AK362" s="2" t="s">
        <v>1458</v>
      </c>
      <c r="AL362" s="4">
        <v>2015</v>
      </c>
      <c r="AM362" s="4">
        <v>187</v>
      </c>
      <c r="AN362" s="4">
        <v>7</v>
      </c>
      <c r="AO362" s="2" t="s">
        <v>86</v>
      </c>
      <c r="AP362" s="2" t="s">
        <v>86</v>
      </c>
      <c r="AQ362" s="2" t="s">
        <v>86</v>
      </c>
      <c r="AR362" s="2" t="s">
        <v>86</v>
      </c>
      <c r="AS362" s="2" t="s">
        <v>86</v>
      </c>
      <c r="AT362" s="2" t="s">
        <v>86</v>
      </c>
      <c r="AU362" s="4">
        <v>423</v>
      </c>
      <c r="AV362" s="2" t="s">
        <v>86</v>
      </c>
      <c r="AW362" s="2" t="s">
        <v>86</v>
      </c>
      <c r="AX362" s="4">
        <v>8</v>
      </c>
      <c r="AY362" s="2" t="s">
        <v>91</v>
      </c>
      <c r="AZ362" s="2" t="s">
        <v>92</v>
      </c>
      <c r="BA362" s="2" t="s">
        <v>93</v>
      </c>
      <c r="BB362" s="2" t="s">
        <v>6546</v>
      </c>
      <c r="BC362" s="4">
        <v>26065888</v>
      </c>
      <c r="BD362" s="2" t="s">
        <v>86</v>
      </c>
      <c r="BE362" s="2" t="s">
        <v>86</v>
      </c>
      <c r="BF362" s="2" t="s">
        <v>86</v>
      </c>
      <c r="BG362" s="2" t="s">
        <v>95</v>
      </c>
      <c r="BH362" s="2" t="s">
        <v>6547</v>
      </c>
      <c r="BI362" s="2" t="str">
        <f>HYPERLINK("https%3A%2F%2Fwww.webofscience.com%2Fwos%2Fwoscc%2Ffull-record%2FWOS:000357340500031","View Full Record in Web of Science")</f>
        <v>View Full Record in Web of Science</v>
      </c>
    </row>
    <row r="363" spans="1:61" customFormat="1" ht="12.75" x14ac:dyDescent="0.2">
      <c r="A363" s="1">
        <v>360</v>
      </c>
      <c r="B363" s="1" t="s">
        <v>1068</v>
      </c>
      <c r="C363" s="1" t="s">
        <v>6548</v>
      </c>
      <c r="D363" s="2" t="s">
        <v>6549</v>
      </c>
      <c r="E363" s="2" t="s">
        <v>6550</v>
      </c>
      <c r="F363" s="3" t="str">
        <f>HYPERLINK("http://dx.doi.org/10.1002/app.43354","http://dx.doi.org/10.1002/app.43354")</f>
        <v>http://dx.doi.org/10.1002/app.43354</v>
      </c>
      <c r="G363" s="2" t="s">
        <v>200</v>
      </c>
      <c r="H363" s="2" t="s">
        <v>6551</v>
      </c>
      <c r="I363" s="2" t="s">
        <v>6552</v>
      </c>
      <c r="J363" s="2" t="s">
        <v>6553</v>
      </c>
      <c r="K363" s="2" t="s">
        <v>68</v>
      </c>
      <c r="L363" s="2" t="s">
        <v>6554</v>
      </c>
      <c r="M363" s="2" t="s">
        <v>86</v>
      </c>
      <c r="N363" s="2" t="s">
        <v>6555</v>
      </c>
      <c r="O363" s="2" t="s">
        <v>6556</v>
      </c>
      <c r="P363" s="2" t="s">
        <v>6557</v>
      </c>
      <c r="Q363" s="2" t="s">
        <v>6558</v>
      </c>
      <c r="R363" s="2" t="s">
        <v>86</v>
      </c>
      <c r="S363" s="2" t="s">
        <v>6559</v>
      </c>
      <c r="T363" s="2" t="s">
        <v>86</v>
      </c>
      <c r="U363" s="2" t="s">
        <v>86</v>
      </c>
      <c r="V363" s="2" t="s">
        <v>86</v>
      </c>
      <c r="W363" s="2" t="s">
        <v>80</v>
      </c>
      <c r="X363" s="4">
        <v>21</v>
      </c>
      <c r="Y363" s="4">
        <v>5</v>
      </c>
      <c r="Z363" s="4">
        <v>13</v>
      </c>
      <c r="AA363" s="4">
        <v>0</v>
      </c>
      <c r="AB363" s="4">
        <v>45</v>
      </c>
      <c r="AC363" s="2" t="s">
        <v>956</v>
      </c>
      <c r="AD363" s="2" t="s">
        <v>957</v>
      </c>
      <c r="AE363" s="2" t="s">
        <v>958</v>
      </c>
      <c r="AF363" s="2" t="s">
        <v>6560</v>
      </c>
      <c r="AG363" s="2" t="s">
        <v>6561</v>
      </c>
      <c r="AH363" s="2" t="s">
        <v>86</v>
      </c>
      <c r="AI363" s="2" t="s">
        <v>6562</v>
      </c>
      <c r="AJ363" s="2" t="s">
        <v>6563</v>
      </c>
      <c r="AK363" s="2" t="s">
        <v>6564</v>
      </c>
      <c r="AL363" s="4">
        <v>2016</v>
      </c>
      <c r="AM363" s="4">
        <v>133</v>
      </c>
      <c r="AN363" s="4">
        <v>17</v>
      </c>
      <c r="AO363" s="2" t="s">
        <v>86</v>
      </c>
      <c r="AP363" s="2" t="s">
        <v>86</v>
      </c>
      <c r="AQ363" s="2" t="s">
        <v>86</v>
      </c>
      <c r="AR363" s="2" t="s">
        <v>86</v>
      </c>
      <c r="AS363" s="2" t="s">
        <v>86</v>
      </c>
      <c r="AT363" s="2" t="s">
        <v>86</v>
      </c>
      <c r="AU363" s="4">
        <v>43354</v>
      </c>
      <c r="AV363" s="2" t="s">
        <v>86</v>
      </c>
      <c r="AW363" s="2" t="s">
        <v>86</v>
      </c>
      <c r="AX363" s="4">
        <v>5</v>
      </c>
      <c r="AY363" s="2" t="s">
        <v>218</v>
      </c>
      <c r="AZ363" s="2" t="s">
        <v>92</v>
      </c>
      <c r="BA363" s="2" t="s">
        <v>218</v>
      </c>
      <c r="BB363" s="2" t="s">
        <v>6565</v>
      </c>
      <c r="BC363" s="2" t="s">
        <v>86</v>
      </c>
      <c r="BD363" s="2" t="s">
        <v>86</v>
      </c>
      <c r="BE363" s="2" t="s">
        <v>86</v>
      </c>
      <c r="BF363" s="2" t="s">
        <v>86</v>
      </c>
      <c r="BG363" s="2" t="s">
        <v>95</v>
      </c>
      <c r="BH363" s="2" t="s">
        <v>6566</v>
      </c>
      <c r="BI363" s="2" t="str">
        <f>HYPERLINK("https%3A%2F%2Fwww.webofscience.com%2Fwos%2Fwoscc%2Ffull-record%2FWOS:000369059400018","View Full Record in Web of Science")</f>
        <v>View Full Record in Web of Science</v>
      </c>
    </row>
    <row r="364" spans="1:61" customFormat="1" ht="12.75" x14ac:dyDescent="0.2">
      <c r="A364" s="1">
        <v>361</v>
      </c>
      <c r="B364" s="1" t="s">
        <v>1068</v>
      </c>
      <c r="C364" s="1" t="s">
        <v>6567</v>
      </c>
      <c r="D364" s="2" t="s">
        <v>6568</v>
      </c>
      <c r="E364" s="2" t="s">
        <v>6569</v>
      </c>
      <c r="F364" s="3" t="str">
        <f>HYPERLINK("http://dx.doi.org/10.1016/j.asoc.2014.04.022","http://dx.doi.org/10.1016/j.asoc.2014.04.022")</f>
        <v>http://dx.doi.org/10.1016/j.asoc.2014.04.022</v>
      </c>
      <c r="G364" s="2" t="s">
        <v>200</v>
      </c>
      <c r="H364" s="2" t="s">
        <v>6570</v>
      </c>
      <c r="I364" s="2" t="s">
        <v>6571</v>
      </c>
      <c r="J364" s="2" t="s">
        <v>6572</v>
      </c>
      <c r="K364" s="2" t="s">
        <v>68</v>
      </c>
      <c r="L364" s="2" t="s">
        <v>6573</v>
      </c>
      <c r="M364" s="2" t="s">
        <v>6574</v>
      </c>
      <c r="N364" s="2" t="s">
        <v>6575</v>
      </c>
      <c r="O364" s="2" t="s">
        <v>6576</v>
      </c>
      <c r="P364" s="2" t="s">
        <v>6577</v>
      </c>
      <c r="Q364" s="2" t="s">
        <v>6578</v>
      </c>
      <c r="R364" s="2" t="s">
        <v>6579</v>
      </c>
      <c r="S364" s="2" t="s">
        <v>6580</v>
      </c>
      <c r="T364" s="2" t="s">
        <v>86</v>
      </c>
      <c r="U364" s="2" t="s">
        <v>86</v>
      </c>
      <c r="V364" s="2" t="s">
        <v>86</v>
      </c>
      <c r="W364" s="2" t="s">
        <v>80</v>
      </c>
      <c r="X364" s="4">
        <v>20</v>
      </c>
      <c r="Y364" s="4">
        <v>50</v>
      </c>
      <c r="Z364" s="4">
        <v>50</v>
      </c>
      <c r="AA364" s="4">
        <v>0</v>
      </c>
      <c r="AB364" s="4">
        <v>30</v>
      </c>
      <c r="AC364" s="2" t="s">
        <v>4555</v>
      </c>
      <c r="AD364" s="2" t="s">
        <v>586</v>
      </c>
      <c r="AE364" s="2" t="s">
        <v>4556</v>
      </c>
      <c r="AF364" s="2" t="s">
        <v>6581</v>
      </c>
      <c r="AG364" s="2" t="s">
        <v>6582</v>
      </c>
      <c r="AH364" s="2" t="s">
        <v>86</v>
      </c>
      <c r="AI364" s="2" t="s">
        <v>6583</v>
      </c>
      <c r="AJ364" s="2" t="s">
        <v>6584</v>
      </c>
      <c r="AK364" s="2" t="s">
        <v>440</v>
      </c>
      <c r="AL364" s="4">
        <v>2014</v>
      </c>
      <c r="AM364" s="4">
        <v>22</v>
      </c>
      <c r="AN364" s="2" t="s">
        <v>86</v>
      </c>
      <c r="AO364" s="2" t="s">
        <v>86</v>
      </c>
      <c r="AP364" s="2" t="s">
        <v>86</v>
      </c>
      <c r="AQ364" s="2" t="s">
        <v>86</v>
      </c>
      <c r="AR364" s="2" t="s">
        <v>86</v>
      </c>
      <c r="AS364" s="4">
        <v>1</v>
      </c>
      <c r="AT364" s="4">
        <v>10</v>
      </c>
      <c r="AU364" s="2" t="s">
        <v>86</v>
      </c>
      <c r="AV364" s="2" t="s">
        <v>86</v>
      </c>
      <c r="AW364" s="2" t="s">
        <v>86</v>
      </c>
      <c r="AX364" s="4">
        <v>10</v>
      </c>
      <c r="AY364" s="2" t="s">
        <v>6585</v>
      </c>
      <c r="AZ364" s="2" t="s">
        <v>92</v>
      </c>
      <c r="BA364" s="2" t="s">
        <v>5622</v>
      </c>
      <c r="BB364" s="2" t="s">
        <v>6586</v>
      </c>
      <c r="BC364" s="2" t="s">
        <v>86</v>
      </c>
      <c r="BD364" s="2" t="s">
        <v>86</v>
      </c>
      <c r="BE364" s="2" t="s">
        <v>86</v>
      </c>
      <c r="BF364" s="2" t="s">
        <v>86</v>
      </c>
      <c r="BG364" s="2" t="s">
        <v>95</v>
      </c>
      <c r="BH364" s="2" t="s">
        <v>6587</v>
      </c>
      <c r="BI364" s="2" t="str">
        <f>HYPERLINK("https%3A%2F%2Fwww.webofscience.com%2Fwos%2Fwoscc%2Ffull-record%2FWOS:000338706600001","View Full Record in Web of Science")</f>
        <v>View Full Record in Web of Science</v>
      </c>
    </row>
    <row r="365" spans="1:61" customFormat="1" ht="12.75" x14ac:dyDescent="0.2">
      <c r="A365" s="1">
        <v>362</v>
      </c>
      <c r="B365" s="1" t="s">
        <v>1068</v>
      </c>
      <c r="C365" s="1" t="s">
        <v>6588</v>
      </c>
      <c r="D365" s="2" t="s">
        <v>6589</v>
      </c>
      <c r="E365" s="2" t="s">
        <v>6590</v>
      </c>
      <c r="F365" s="3" t="str">
        <f>HYPERLINK("http://dx.doi.org/10.1007/s10661-019-7610-1","http://dx.doi.org/10.1007/s10661-019-7610-1")</f>
        <v>http://dx.doi.org/10.1007/s10661-019-7610-1</v>
      </c>
      <c r="G365" s="2" t="s">
        <v>200</v>
      </c>
      <c r="H365" s="2" t="s">
        <v>6591</v>
      </c>
      <c r="I365" s="2" t="s">
        <v>6592</v>
      </c>
      <c r="J365" s="2" t="s">
        <v>401</v>
      </c>
      <c r="K365" s="2" t="s">
        <v>68</v>
      </c>
      <c r="L365" s="2" t="s">
        <v>6593</v>
      </c>
      <c r="M365" s="2" t="s">
        <v>6594</v>
      </c>
      <c r="N365" s="2" t="s">
        <v>6595</v>
      </c>
      <c r="O365" s="2" t="s">
        <v>6596</v>
      </c>
      <c r="P365" s="2" t="s">
        <v>6597</v>
      </c>
      <c r="Q365" s="2" t="s">
        <v>6598</v>
      </c>
      <c r="R365" s="2" t="s">
        <v>6599</v>
      </c>
      <c r="S365" s="2" t="s">
        <v>6600</v>
      </c>
      <c r="T365" s="2" t="s">
        <v>6601</v>
      </c>
      <c r="U365" s="2" t="s">
        <v>2874</v>
      </c>
      <c r="V365" s="2" t="s">
        <v>6602</v>
      </c>
      <c r="W365" s="2" t="s">
        <v>80</v>
      </c>
      <c r="X365" s="4">
        <v>32</v>
      </c>
      <c r="Y365" s="4">
        <v>3</v>
      </c>
      <c r="Z365" s="4">
        <v>3</v>
      </c>
      <c r="AA365" s="4">
        <v>0</v>
      </c>
      <c r="AB365" s="4">
        <v>35</v>
      </c>
      <c r="AC365" s="2" t="s">
        <v>139</v>
      </c>
      <c r="AD365" s="2" t="s">
        <v>140</v>
      </c>
      <c r="AE365" s="2" t="s">
        <v>141</v>
      </c>
      <c r="AF365" s="2" t="s">
        <v>412</v>
      </c>
      <c r="AG365" s="2" t="s">
        <v>413</v>
      </c>
      <c r="AH365" s="2" t="s">
        <v>86</v>
      </c>
      <c r="AI365" s="2" t="s">
        <v>414</v>
      </c>
      <c r="AJ365" s="2" t="s">
        <v>415</v>
      </c>
      <c r="AK365" s="2" t="s">
        <v>1458</v>
      </c>
      <c r="AL365" s="4">
        <v>2019</v>
      </c>
      <c r="AM365" s="4">
        <v>191</v>
      </c>
      <c r="AN365" s="4">
        <v>7</v>
      </c>
      <c r="AO365" s="2" t="s">
        <v>86</v>
      </c>
      <c r="AP365" s="2" t="s">
        <v>86</v>
      </c>
      <c r="AQ365" s="2" t="s">
        <v>86</v>
      </c>
      <c r="AR365" s="2" t="s">
        <v>86</v>
      </c>
      <c r="AS365" s="2" t="s">
        <v>86</v>
      </c>
      <c r="AT365" s="2" t="s">
        <v>86</v>
      </c>
      <c r="AU365" s="4">
        <v>474</v>
      </c>
      <c r="AV365" s="2" t="s">
        <v>86</v>
      </c>
      <c r="AW365" s="2" t="s">
        <v>86</v>
      </c>
      <c r="AX365" s="4">
        <v>11</v>
      </c>
      <c r="AY365" s="2" t="s">
        <v>91</v>
      </c>
      <c r="AZ365" s="2" t="s">
        <v>92</v>
      </c>
      <c r="BA365" s="2" t="s">
        <v>93</v>
      </c>
      <c r="BB365" s="2" t="s">
        <v>6603</v>
      </c>
      <c r="BC365" s="4">
        <v>31256268</v>
      </c>
      <c r="BD365" s="2" t="s">
        <v>86</v>
      </c>
      <c r="BE365" s="2" t="s">
        <v>86</v>
      </c>
      <c r="BF365" s="2" t="s">
        <v>86</v>
      </c>
      <c r="BG365" s="2" t="s">
        <v>95</v>
      </c>
      <c r="BH365" s="2" t="s">
        <v>6604</v>
      </c>
      <c r="BI365" s="2" t="str">
        <f>HYPERLINK("https%3A%2F%2Fwww.webofscience.com%2Fwos%2Fwoscc%2Ffull-record%2FWOS:000473172300005","View Full Record in Web of Science")</f>
        <v>View Full Record in Web of Science</v>
      </c>
    </row>
    <row r="366" spans="1:61" customFormat="1" ht="12.75" x14ac:dyDescent="0.2">
      <c r="A366" s="1">
        <v>363</v>
      </c>
      <c r="B366" s="1" t="s">
        <v>1068</v>
      </c>
      <c r="C366" s="1" t="s">
        <v>6605</v>
      </c>
      <c r="D366" s="2" t="s">
        <v>6606</v>
      </c>
      <c r="E366" s="2" t="s">
        <v>6607</v>
      </c>
      <c r="F366" s="3" t="str">
        <f>HYPERLINK("http://dx.doi.org/10.1002/pen.25356","http://dx.doi.org/10.1002/pen.25356")</f>
        <v>http://dx.doi.org/10.1002/pen.25356</v>
      </c>
      <c r="G366" s="2" t="s">
        <v>200</v>
      </c>
      <c r="H366" s="2" t="s">
        <v>6608</v>
      </c>
      <c r="I366" s="2" t="s">
        <v>6609</v>
      </c>
      <c r="J366" s="2" t="s">
        <v>5054</v>
      </c>
      <c r="K366" s="2" t="s">
        <v>68</v>
      </c>
      <c r="L366" s="2" t="s">
        <v>86</v>
      </c>
      <c r="M366" s="2" t="s">
        <v>6610</v>
      </c>
      <c r="N366" s="2" t="s">
        <v>6611</v>
      </c>
      <c r="O366" s="2" t="s">
        <v>6612</v>
      </c>
      <c r="P366" s="2" t="s">
        <v>6613</v>
      </c>
      <c r="Q366" s="2" t="s">
        <v>6614</v>
      </c>
      <c r="R366" s="2" t="s">
        <v>6615</v>
      </c>
      <c r="S366" s="2" t="s">
        <v>6616</v>
      </c>
      <c r="T366" s="2" t="s">
        <v>6617</v>
      </c>
      <c r="U366" s="2" t="s">
        <v>434</v>
      </c>
      <c r="V366" s="2" t="s">
        <v>6618</v>
      </c>
      <c r="W366" s="2" t="s">
        <v>80</v>
      </c>
      <c r="X366" s="4">
        <v>63</v>
      </c>
      <c r="Y366" s="4">
        <v>3</v>
      </c>
      <c r="Z366" s="4">
        <v>3</v>
      </c>
      <c r="AA366" s="4">
        <v>6</v>
      </c>
      <c r="AB366" s="4">
        <v>28</v>
      </c>
      <c r="AC366" s="2" t="s">
        <v>956</v>
      </c>
      <c r="AD366" s="2" t="s">
        <v>957</v>
      </c>
      <c r="AE366" s="2" t="s">
        <v>958</v>
      </c>
      <c r="AF366" s="2" t="s">
        <v>5061</v>
      </c>
      <c r="AG366" s="2" t="s">
        <v>5062</v>
      </c>
      <c r="AH366" s="2" t="s">
        <v>86</v>
      </c>
      <c r="AI366" s="2" t="s">
        <v>5063</v>
      </c>
      <c r="AJ366" s="2" t="s">
        <v>5064</v>
      </c>
      <c r="AK366" s="2" t="s">
        <v>1220</v>
      </c>
      <c r="AL366" s="4">
        <v>2020</v>
      </c>
      <c r="AM366" s="4">
        <v>60</v>
      </c>
      <c r="AN366" s="4">
        <v>5</v>
      </c>
      <c r="AO366" s="2" t="s">
        <v>86</v>
      </c>
      <c r="AP366" s="2" t="s">
        <v>86</v>
      </c>
      <c r="AQ366" s="2" t="s">
        <v>86</v>
      </c>
      <c r="AR366" s="2" t="s">
        <v>86</v>
      </c>
      <c r="AS366" s="4">
        <v>1006</v>
      </c>
      <c r="AT366" s="4">
        <v>1018</v>
      </c>
      <c r="AU366" s="2" t="s">
        <v>86</v>
      </c>
      <c r="AV366" s="2" t="s">
        <v>86</v>
      </c>
      <c r="AW366" s="2" t="s">
        <v>86</v>
      </c>
      <c r="AX366" s="4">
        <v>13</v>
      </c>
      <c r="AY366" s="2" t="s">
        <v>5065</v>
      </c>
      <c r="AZ366" s="2" t="s">
        <v>92</v>
      </c>
      <c r="BA366" s="2" t="s">
        <v>5066</v>
      </c>
      <c r="BB366" s="2" t="s">
        <v>6619</v>
      </c>
      <c r="BC366" s="2" t="s">
        <v>86</v>
      </c>
      <c r="BD366" s="2" t="s">
        <v>86</v>
      </c>
      <c r="BE366" s="2" t="s">
        <v>86</v>
      </c>
      <c r="BF366" s="2" t="s">
        <v>86</v>
      </c>
      <c r="BG366" s="2" t="s">
        <v>95</v>
      </c>
      <c r="BH366" s="2" t="s">
        <v>6620</v>
      </c>
      <c r="BI366" s="2" t="str">
        <f>HYPERLINK("https%3A%2F%2Fwww.webofscience.com%2Fwos%2Fwoscc%2Ffull-record%2FWOS:000534221200015","View Full Record in Web of Science")</f>
        <v>View Full Record in Web of Science</v>
      </c>
    </row>
    <row r="367" spans="1:61" customFormat="1" ht="12.75" x14ac:dyDescent="0.2">
      <c r="A367" s="1">
        <v>364</v>
      </c>
      <c r="B367" s="1" t="s">
        <v>1068</v>
      </c>
      <c r="C367" s="1" t="s">
        <v>6621</v>
      </c>
      <c r="D367" s="2" t="s">
        <v>6622</v>
      </c>
      <c r="E367" s="2" t="s">
        <v>6623</v>
      </c>
      <c r="F367" s="3" t="str">
        <f>HYPERLINK("http://dx.doi.org/10.1109/JSEN.2018.2843794","http://dx.doi.org/10.1109/JSEN.2018.2843794")</f>
        <v>http://dx.doi.org/10.1109/JSEN.2018.2843794</v>
      </c>
      <c r="G367" s="2" t="s">
        <v>200</v>
      </c>
      <c r="H367" s="2" t="s">
        <v>6624</v>
      </c>
      <c r="I367" s="2" t="s">
        <v>6625</v>
      </c>
      <c r="J367" s="2" t="s">
        <v>6626</v>
      </c>
      <c r="K367" s="2" t="s">
        <v>68</v>
      </c>
      <c r="L367" s="2" t="s">
        <v>6627</v>
      </c>
      <c r="M367" s="2" t="s">
        <v>6628</v>
      </c>
      <c r="N367" s="2" t="s">
        <v>6629</v>
      </c>
      <c r="O367" s="2" t="s">
        <v>6630</v>
      </c>
      <c r="P367" s="2" t="s">
        <v>6631</v>
      </c>
      <c r="Q367" s="2" t="s">
        <v>6632</v>
      </c>
      <c r="R367" s="2" t="s">
        <v>6633</v>
      </c>
      <c r="S367" s="2" t="s">
        <v>6634</v>
      </c>
      <c r="T367" s="2" t="s">
        <v>86</v>
      </c>
      <c r="U367" s="2" t="s">
        <v>86</v>
      </c>
      <c r="V367" s="2" t="s">
        <v>86</v>
      </c>
      <c r="W367" s="2" t="s">
        <v>80</v>
      </c>
      <c r="X367" s="4">
        <v>65</v>
      </c>
      <c r="Y367" s="4">
        <v>14</v>
      </c>
      <c r="Z367" s="4">
        <v>14</v>
      </c>
      <c r="AA367" s="4">
        <v>9</v>
      </c>
      <c r="AB367" s="4">
        <v>90</v>
      </c>
      <c r="AC367" s="2" t="s">
        <v>6635</v>
      </c>
      <c r="AD367" s="2" t="s">
        <v>6636</v>
      </c>
      <c r="AE367" s="2" t="s">
        <v>6637</v>
      </c>
      <c r="AF367" s="2" t="s">
        <v>6638</v>
      </c>
      <c r="AG367" s="2" t="s">
        <v>6639</v>
      </c>
      <c r="AH367" s="2" t="s">
        <v>86</v>
      </c>
      <c r="AI367" s="2" t="s">
        <v>6640</v>
      </c>
      <c r="AJ367" s="2" t="s">
        <v>6641</v>
      </c>
      <c r="AK367" s="2" t="s">
        <v>3628</v>
      </c>
      <c r="AL367" s="4">
        <v>2018</v>
      </c>
      <c r="AM367" s="4">
        <v>18</v>
      </c>
      <c r="AN367" s="4">
        <v>14</v>
      </c>
      <c r="AO367" s="2" t="s">
        <v>86</v>
      </c>
      <c r="AP367" s="2" t="s">
        <v>86</v>
      </c>
      <c r="AQ367" s="2" t="s">
        <v>86</v>
      </c>
      <c r="AR367" s="2" t="s">
        <v>86</v>
      </c>
      <c r="AS367" s="4">
        <v>5948</v>
      </c>
      <c r="AT367" s="4">
        <v>5955</v>
      </c>
      <c r="AU367" s="2" t="s">
        <v>86</v>
      </c>
      <c r="AV367" s="2" t="s">
        <v>86</v>
      </c>
      <c r="AW367" s="2" t="s">
        <v>86</v>
      </c>
      <c r="AX367" s="4">
        <v>8</v>
      </c>
      <c r="AY367" s="2" t="s">
        <v>6642</v>
      </c>
      <c r="AZ367" s="2" t="s">
        <v>92</v>
      </c>
      <c r="BA367" s="2" t="s">
        <v>6643</v>
      </c>
      <c r="BB367" s="2" t="s">
        <v>6644</v>
      </c>
      <c r="BC367" s="2" t="s">
        <v>86</v>
      </c>
      <c r="BD367" s="2" t="s">
        <v>86</v>
      </c>
      <c r="BE367" s="2" t="s">
        <v>86</v>
      </c>
      <c r="BF367" s="2" t="s">
        <v>86</v>
      </c>
      <c r="BG367" s="2" t="s">
        <v>95</v>
      </c>
      <c r="BH367" s="2" t="s">
        <v>6645</v>
      </c>
      <c r="BI367" s="2" t="str">
        <f>HYPERLINK("https%3A%2F%2Fwww.webofscience.com%2Fwos%2Fwoscc%2Ffull-record%2FWOS:000437024600037","View Full Record in Web of Science")</f>
        <v>View Full Record in Web of Science</v>
      </c>
    </row>
    <row r="368" spans="1:61" customFormat="1" ht="12.75" x14ac:dyDescent="0.2">
      <c r="A368" s="1">
        <v>365</v>
      </c>
      <c r="B368" s="1" t="s">
        <v>1068</v>
      </c>
      <c r="C368" s="1" t="s">
        <v>6646</v>
      </c>
      <c r="D368" s="2" t="s">
        <v>6647</v>
      </c>
      <c r="E368" s="2" t="s">
        <v>6648</v>
      </c>
      <c r="F368" s="3" t="str">
        <f>HYPERLINK("http://dx.doi.org/10.33706/jemcr.601323","http://dx.doi.org/10.33706/jemcr.601323")</f>
        <v>http://dx.doi.org/10.33706/jemcr.601323</v>
      </c>
      <c r="G368" s="2" t="s">
        <v>200</v>
      </c>
      <c r="H368" s="2" t="s">
        <v>6649</v>
      </c>
      <c r="I368" s="2" t="s">
        <v>6650</v>
      </c>
      <c r="J368" s="2" t="s">
        <v>6651</v>
      </c>
      <c r="K368" s="2" t="s">
        <v>68</v>
      </c>
      <c r="L368" s="2" t="s">
        <v>6652</v>
      </c>
      <c r="M368" s="2" t="s">
        <v>6653</v>
      </c>
      <c r="N368" s="2" t="s">
        <v>6654</v>
      </c>
      <c r="O368" s="2" t="s">
        <v>6655</v>
      </c>
      <c r="P368" s="2" t="s">
        <v>6656</v>
      </c>
      <c r="Q368" s="2" t="s">
        <v>6657</v>
      </c>
      <c r="R368" s="2" t="s">
        <v>86</v>
      </c>
      <c r="S368" s="2" t="s">
        <v>6658</v>
      </c>
      <c r="T368" s="2" t="s">
        <v>86</v>
      </c>
      <c r="U368" s="2" t="s">
        <v>86</v>
      </c>
      <c r="V368" s="2" t="s">
        <v>86</v>
      </c>
      <c r="W368" s="2" t="s">
        <v>80</v>
      </c>
      <c r="X368" s="4">
        <v>10</v>
      </c>
      <c r="Y368" s="4">
        <v>1</v>
      </c>
      <c r="Z368" s="4">
        <v>1</v>
      </c>
      <c r="AA368" s="4">
        <v>0</v>
      </c>
      <c r="AB368" s="4">
        <v>0</v>
      </c>
      <c r="AC368" s="2" t="s">
        <v>931</v>
      </c>
      <c r="AD368" s="2" t="s">
        <v>932</v>
      </c>
      <c r="AE368" s="2" t="s">
        <v>933</v>
      </c>
      <c r="AF368" s="2" t="s">
        <v>6659</v>
      </c>
      <c r="AG368" s="2" t="s">
        <v>86</v>
      </c>
      <c r="AH368" s="2" t="s">
        <v>86</v>
      </c>
      <c r="AI368" s="2" t="s">
        <v>6660</v>
      </c>
      <c r="AJ368" s="2" t="s">
        <v>6661</v>
      </c>
      <c r="AK368" s="2" t="s">
        <v>873</v>
      </c>
      <c r="AL368" s="4">
        <v>2019</v>
      </c>
      <c r="AM368" s="4">
        <v>10</v>
      </c>
      <c r="AN368" s="4">
        <v>4</v>
      </c>
      <c r="AO368" s="2" t="s">
        <v>86</v>
      </c>
      <c r="AP368" s="2" t="s">
        <v>86</v>
      </c>
      <c r="AQ368" s="2" t="s">
        <v>86</v>
      </c>
      <c r="AR368" s="2" t="s">
        <v>86</v>
      </c>
      <c r="AS368" s="4">
        <v>121</v>
      </c>
      <c r="AT368" s="4">
        <v>123</v>
      </c>
      <c r="AU368" s="2" t="s">
        <v>86</v>
      </c>
      <c r="AV368" s="2" t="s">
        <v>86</v>
      </c>
      <c r="AW368" s="2" t="s">
        <v>86</v>
      </c>
      <c r="AX368" s="4">
        <v>3</v>
      </c>
      <c r="AY368" s="2" t="s">
        <v>938</v>
      </c>
      <c r="AZ368" s="2" t="s">
        <v>171</v>
      </c>
      <c r="BA368" s="2" t="s">
        <v>938</v>
      </c>
      <c r="BB368" s="2" t="s">
        <v>6662</v>
      </c>
      <c r="BC368" s="2" t="s">
        <v>86</v>
      </c>
      <c r="BD368" s="2" t="s">
        <v>6663</v>
      </c>
      <c r="BE368" s="2" t="s">
        <v>86</v>
      </c>
      <c r="BF368" s="2" t="s">
        <v>86</v>
      </c>
      <c r="BG368" s="2" t="s">
        <v>95</v>
      </c>
      <c r="BH368" s="2" t="s">
        <v>6664</v>
      </c>
      <c r="BI368" s="2" t="str">
        <f>HYPERLINK("https%3A%2F%2Fwww.webofscience.com%2Fwos%2Fwoscc%2Ffull-record%2FWOS:000511297800008","View Full Record in Web of Science")</f>
        <v>View Full Record in Web of Science</v>
      </c>
    </row>
    <row r="369" spans="1:61" customFormat="1" ht="12.75" x14ac:dyDescent="0.2">
      <c r="A369" s="1">
        <v>366</v>
      </c>
      <c r="B369" s="1" t="s">
        <v>1068</v>
      </c>
      <c r="C369" s="1" t="s">
        <v>6665</v>
      </c>
      <c r="D369" s="2" t="s">
        <v>6666</v>
      </c>
      <c r="E369" s="2" t="s">
        <v>86</v>
      </c>
      <c r="F369" s="2" t="s">
        <v>86</v>
      </c>
      <c r="G369" s="2" t="s">
        <v>200</v>
      </c>
      <c r="H369" s="2" t="s">
        <v>6667</v>
      </c>
      <c r="I369" s="2" t="s">
        <v>6668</v>
      </c>
      <c r="J369" s="2" t="s">
        <v>6669</v>
      </c>
      <c r="K369" s="2" t="s">
        <v>68</v>
      </c>
      <c r="L369" s="2" t="s">
        <v>6670</v>
      </c>
      <c r="M369" s="2" t="s">
        <v>6671</v>
      </c>
      <c r="N369" s="2" t="s">
        <v>6672</v>
      </c>
      <c r="O369" s="2" t="s">
        <v>6673</v>
      </c>
      <c r="P369" s="2" t="s">
        <v>6674</v>
      </c>
      <c r="Q369" s="2" t="s">
        <v>5739</v>
      </c>
      <c r="R369" s="2" t="s">
        <v>6675</v>
      </c>
      <c r="S369" s="2" t="s">
        <v>6676</v>
      </c>
      <c r="T369" s="2" t="s">
        <v>6677</v>
      </c>
      <c r="U369" s="2" t="s">
        <v>6677</v>
      </c>
      <c r="V369" s="2" t="s">
        <v>6678</v>
      </c>
      <c r="W369" s="2" t="s">
        <v>80</v>
      </c>
      <c r="X369" s="4">
        <v>39</v>
      </c>
      <c r="Y369" s="4">
        <v>23</v>
      </c>
      <c r="Z369" s="4">
        <v>23</v>
      </c>
      <c r="AA369" s="4">
        <v>0</v>
      </c>
      <c r="AB369" s="4">
        <v>24</v>
      </c>
      <c r="AC369" s="2" t="s">
        <v>6679</v>
      </c>
      <c r="AD369" s="2" t="s">
        <v>6680</v>
      </c>
      <c r="AE369" s="2" t="s">
        <v>6681</v>
      </c>
      <c r="AF369" s="2" t="s">
        <v>6682</v>
      </c>
      <c r="AG369" s="2" t="s">
        <v>86</v>
      </c>
      <c r="AH369" s="2" t="s">
        <v>86</v>
      </c>
      <c r="AI369" s="2" t="s">
        <v>6669</v>
      </c>
      <c r="AJ369" s="2" t="s">
        <v>6683</v>
      </c>
      <c r="AK369" s="2" t="s">
        <v>146</v>
      </c>
      <c r="AL369" s="4">
        <v>2016</v>
      </c>
      <c r="AM369" s="4">
        <v>11</v>
      </c>
      <c r="AN369" s="4">
        <v>1</v>
      </c>
      <c r="AO369" s="2" t="s">
        <v>86</v>
      </c>
      <c r="AP369" s="2" t="s">
        <v>86</v>
      </c>
      <c r="AQ369" s="2" t="s">
        <v>86</v>
      </c>
      <c r="AR369" s="2" t="s">
        <v>86</v>
      </c>
      <c r="AS369" s="4">
        <v>1494</v>
      </c>
      <c r="AT369" s="4">
        <v>1504</v>
      </c>
      <c r="AU369" s="2" t="s">
        <v>86</v>
      </c>
      <c r="AV369" s="2" t="s">
        <v>86</v>
      </c>
      <c r="AW369" s="2" t="s">
        <v>86</v>
      </c>
      <c r="AX369" s="4">
        <v>11</v>
      </c>
      <c r="AY369" s="2" t="s">
        <v>3122</v>
      </c>
      <c r="AZ369" s="2" t="s">
        <v>92</v>
      </c>
      <c r="BA369" s="2" t="s">
        <v>3123</v>
      </c>
      <c r="BB369" s="2" t="s">
        <v>6684</v>
      </c>
      <c r="BC369" s="2" t="s">
        <v>86</v>
      </c>
      <c r="BD369" s="2" t="s">
        <v>86</v>
      </c>
      <c r="BE369" s="2" t="s">
        <v>86</v>
      </c>
      <c r="BF369" s="2" t="s">
        <v>86</v>
      </c>
      <c r="BG369" s="2" t="s">
        <v>95</v>
      </c>
      <c r="BH369" s="2" t="s">
        <v>6685</v>
      </c>
      <c r="BI369" s="2" t="str">
        <f>HYPERLINK("https%3A%2F%2Fwww.webofscience.com%2Fwos%2Fwoscc%2Ffull-record%2FWOS:000367732700117","View Full Record in Web of Science")</f>
        <v>View Full Record in Web of Science</v>
      </c>
    </row>
    <row r="370" spans="1:61" customFormat="1" ht="12.75" x14ac:dyDescent="0.2">
      <c r="A370" s="1">
        <v>367</v>
      </c>
      <c r="B370" s="1" t="s">
        <v>1068</v>
      </c>
      <c r="C370" s="1" t="s">
        <v>6686</v>
      </c>
      <c r="D370" s="2" t="s">
        <v>6687</v>
      </c>
      <c r="E370" s="2" t="s">
        <v>6688</v>
      </c>
      <c r="F370" s="3" t="str">
        <f>HYPERLINK("http://dx.doi.org/10.5152/UCD.2013.30","http://dx.doi.org/10.5152/UCD.2013.30")</f>
        <v>http://dx.doi.org/10.5152/UCD.2013.30</v>
      </c>
      <c r="G370" s="2" t="s">
        <v>200</v>
      </c>
      <c r="H370" s="2" t="s">
        <v>6689</v>
      </c>
      <c r="I370" s="2" t="s">
        <v>6690</v>
      </c>
      <c r="J370" s="2" t="s">
        <v>6691</v>
      </c>
      <c r="K370" s="2" t="s">
        <v>305</v>
      </c>
      <c r="L370" s="2" t="s">
        <v>6692</v>
      </c>
      <c r="M370" s="2" t="s">
        <v>6693</v>
      </c>
      <c r="N370" s="2" t="s">
        <v>6694</v>
      </c>
      <c r="O370" s="2" t="s">
        <v>6695</v>
      </c>
      <c r="P370" s="2" t="s">
        <v>6696</v>
      </c>
      <c r="Q370" s="2" t="s">
        <v>6697</v>
      </c>
      <c r="R370" s="2" t="s">
        <v>86</v>
      </c>
      <c r="S370" s="2" t="s">
        <v>6698</v>
      </c>
      <c r="T370" s="2" t="s">
        <v>86</v>
      </c>
      <c r="U370" s="2" t="s">
        <v>86</v>
      </c>
      <c r="V370" s="2" t="s">
        <v>86</v>
      </c>
      <c r="W370" s="2" t="s">
        <v>80</v>
      </c>
      <c r="X370" s="4">
        <v>15</v>
      </c>
      <c r="Y370" s="4">
        <v>1</v>
      </c>
      <c r="Z370" s="4">
        <v>1</v>
      </c>
      <c r="AA370" s="4">
        <v>0</v>
      </c>
      <c r="AB370" s="4">
        <v>0</v>
      </c>
      <c r="AC370" s="2" t="s">
        <v>6699</v>
      </c>
      <c r="AD370" s="2" t="s">
        <v>6700</v>
      </c>
      <c r="AE370" s="2" t="s">
        <v>6701</v>
      </c>
      <c r="AF370" s="2" t="s">
        <v>6702</v>
      </c>
      <c r="AG370" s="2" t="s">
        <v>6703</v>
      </c>
      <c r="AH370" s="2" t="s">
        <v>86</v>
      </c>
      <c r="AI370" s="2" t="s">
        <v>6704</v>
      </c>
      <c r="AJ370" s="2" t="s">
        <v>6705</v>
      </c>
      <c r="AK370" s="2" t="s">
        <v>342</v>
      </c>
      <c r="AL370" s="4">
        <v>2015</v>
      </c>
      <c r="AM370" s="4">
        <v>31</v>
      </c>
      <c r="AN370" s="4">
        <v>2</v>
      </c>
      <c r="AO370" s="2" t="s">
        <v>86</v>
      </c>
      <c r="AP370" s="2" t="s">
        <v>86</v>
      </c>
      <c r="AQ370" s="2" t="s">
        <v>86</v>
      </c>
      <c r="AR370" s="2" t="s">
        <v>86</v>
      </c>
      <c r="AS370" s="4">
        <v>107</v>
      </c>
      <c r="AT370" s="4">
        <v>109</v>
      </c>
      <c r="AU370" s="2" t="s">
        <v>86</v>
      </c>
      <c r="AV370" s="2" t="s">
        <v>86</v>
      </c>
      <c r="AW370" s="2" t="s">
        <v>86</v>
      </c>
      <c r="AX370" s="4">
        <v>3</v>
      </c>
      <c r="AY370" s="2" t="s">
        <v>5289</v>
      </c>
      <c r="AZ370" s="2" t="s">
        <v>171</v>
      </c>
      <c r="BA370" s="2" t="s">
        <v>5289</v>
      </c>
      <c r="BB370" s="2" t="s">
        <v>6706</v>
      </c>
      <c r="BC370" s="4">
        <v>26170746</v>
      </c>
      <c r="BD370" s="2" t="s">
        <v>877</v>
      </c>
      <c r="BE370" s="2" t="s">
        <v>86</v>
      </c>
      <c r="BF370" s="2" t="s">
        <v>86</v>
      </c>
      <c r="BG370" s="2" t="s">
        <v>95</v>
      </c>
      <c r="BH370" s="2" t="s">
        <v>6707</v>
      </c>
      <c r="BI370" s="2" t="str">
        <f>HYPERLINK("https%3A%2F%2Fwww.webofscience.com%2Fwos%2Fwoscc%2Ffull-record%2FWOS:000370846200016","View Full Record in Web of Science")</f>
        <v>View Full Record in Web of Science</v>
      </c>
    </row>
    <row r="371" spans="1:61" customFormat="1" ht="12.75" x14ac:dyDescent="0.2">
      <c r="A371" s="1">
        <v>368</v>
      </c>
      <c r="B371" s="1" t="s">
        <v>1068</v>
      </c>
      <c r="C371" s="1" t="s">
        <v>6708</v>
      </c>
      <c r="D371" s="2" t="s">
        <v>6709</v>
      </c>
      <c r="E371" s="2" t="s">
        <v>6710</v>
      </c>
      <c r="F371" s="3" t="str">
        <f>HYPERLINK("http://dx.doi.org/10.5194/aab-63-337-2020","http://dx.doi.org/10.5194/aab-63-337-2020")</f>
        <v>http://dx.doi.org/10.5194/aab-63-337-2020</v>
      </c>
      <c r="G371" s="2" t="s">
        <v>200</v>
      </c>
      <c r="H371" s="2" t="s">
        <v>6711</v>
      </c>
      <c r="I371" s="2" t="s">
        <v>6712</v>
      </c>
      <c r="J371" s="2" t="s">
        <v>4704</v>
      </c>
      <c r="K371" s="2" t="s">
        <v>68</v>
      </c>
      <c r="L371" s="2" t="s">
        <v>86</v>
      </c>
      <c r="M371" s="2" t="s">
        <v>6713</v>
      </c>
      <c r="N371" s="2" t="s">
        <v>6714</v>
      </c>
      <c r="O371" s="2" t="s">
        <v>6715</v>
      </c>
      <c r="P371" s="2" t="s">
        <v>6716</v>
      </c>
      <c r="Q371" s="2" t="s">
        <v>6717</v>
      </c>
      <c r="R371" s="2" t="s">
        <v>6718</v>
      </c>
      <c r="S371" s="2" t="s">
        <v>6719</v>
      </c>
      <c r="T371" s="2" t="s">
        <v>86</v>
      </c>
      <c r="U371" s="2" t="s">
        <v>86</v>
      </c>
      <c r="V371" s="2" t="s">
        <v>86</v>
      </c>
      <c r="W371" s="2" t="s">
        <v>80</v>
      </c>
      <c r="X371" s="4">
        <v>49</v>
      </c>
      <c r="Y371" s="4">
        <v>8</v>
      </c>
      <c r="Z371" s="4">
        <v>9</v>
      </c>
      <c r="AA371" s="4">
        <v>1</v>
      </c>
      <c r="AB371" s="4">
        <v>9</v>
      </c>
      <c r="AC371" s="2" t="s">
        <v>4710</v>
      </c>
      <c r="AD371" s="2" t="s">
        <v>4711</v>
      </c>
      <c r="AE371" s="2" t="s">
        <v>4712</v>
      </c>
      <c r="AF371" s="2" t="s">
        <v>4713</v>
      </c>
      <c r="AG371" s="2" t="s">
        <v>4714</v>
      </c>
      <c r="AH371" s="2" t="s">
        <v>86</v>
      </c>
      <c r="AI371" s="2" t="s">
        <v>4715</v>
      </c>
      <c r="AJ371" s="2" t="s">
        <v>4716</v>
      </c>
      <c r="AK371" s="2" t="s">
        <v>6720</v>
      </c>
      <c r="AL371" s="4">
        <v>2020</v>
      </c>
      <c r="AM371" s="4">
        <v>63</v>
      </c>
      <c r="AN371" s="4">
        <v>2</v>
      </c>
      <c r="AO371" s="2" t="s">
        <v>86</v>
      </c>
      <c r="AP371" s="2" t="s">
        <v>86</v>
      </c>
      <c r="AQ371" s="2" t="s">
        <v>86</v>
      </c>
      <c r="AR371" s="2" t="s">
        <v>86</v>
      </c>
      <c r="AS371" s="4">
        <v>337</v>
      </c>
      <c r="AT371" s="4">
        <v>344</v>
      </c>
      <c r="AU371" s="2" t="s">
        <v>86</v>
      </c>
      <c r="AV371" s="2" t="s">
        <v>86</v>
      </c>
      <c r="AW371" s="2" t="s">
        <v>86</v>
      </c>
      <c r="AX371" s="4">
        <v>8</v>
      </c>
      <c r="AY371" s="2" t="s">
        <v>4718</v>
      </c>
      <c r="AZ371" s="2" t="s">
        <v>92</v>
      </c>
      <c r="BA371" s="2" t="s">
        <v>4719</v>
      </c>
      <c r="BB371" s="2" t="s">
        <v>6721</v>
      </c>
      <c r="BC371" s="4">
        <v>32964104</v>
      </c>
      <c r="BD371" s="2" t="s">
        <v>723</v>
      </c>
      <c r="BE371" s="2" t="s">
        <v>86</v>
      </c>
      <c r="BF371" s="2" t="s">
        <v>86</v>
      </c>
      <c r="BG371" s="2" t="s">
        <v>95</v>
      </c>
      <c r="BH371" s="2" t="s">
        <v>6722</v>
      </c>
      <c r="BI371" s="2" t="str">
        <f>HYPERLINK("https%3A%2F%2Fwww.webofscience.com%2Fwos%2Fwoscc%2Ffull-record%2FWOS:000571655900001","View Full Record in Web of Science")</f>
        <v>View Full Record in Web of Science</v>
      </c>
    </row>
    <row r="372" spans="1:61" customFormat="1" ht="12.75" x14ac:dyDescent="0.2">
      <c r="A372" s="1">
        <v>369</v>
      </c>
      <c r="B372" s="1" t="s">
        <v>1068</v>
      </c>
      <c r="C372" s="1" t="s">
        <v>6723</v>
      </c>
      <c r="D372" s="2" t="s">
        <v>6724</v>
      </c>
      <c r="E372" s="2" t="s">
        <v>6725</v>
      </c>
      <c r="F372" s="3" t="str">
        <f>HYPERLINK("http://dx.doi.org/10.3139/120.110914","http://dx.doi.org/10.3139/120.110914")</f>
        <v>http://dx.doi.org/10.3139/120.110914</v>
      </c>
      <c r="G372" s="2" t="s">
        <v>200</v>
      </c>
      <c r="H372" s="2" t="s">
        <v>6726</v>
      </c>
      <c r="I372" s="2" t="s">
        <v>6727</v>
      </c>
      <c r="J372" s="2" t="s">
        <v>6728</v>
      </c>
      <c r="K372" s="2" t="s">
        <v>68</v>
      </c>
      <c r="L372" s="2" t="s">
        <v>6729</v>
      </c>
      <c r="M372" s="2" t="s">
        <v>6730</v>
      </c>
      <c r="N372" s="2" t="s">
        <v>6731</v>
      </c>
      <c r="O372" s="2" t="s">
        <v>6732</v>
      </c>
      <c r="P372" s="2" t="s">
        <v>6733</v>
      </c>
      <c r="Q372" s="2" t="s">
        <v>6734</v>
      </c>
      <c r="R372" s="2" t="s">
        <v>6735</v>
      </c>
      <c r="S372" s="2" t="s">
        <v>86</v>
      </c>
      <c r="T372" s="2" t="s">
        <v>6736</v>
      </c>
      <c r="U372" s="2" t="s">
        <v>6737</v>
      </c>
      <c r="V372" s="2" t="s">
        <v>6738</v>
      </c>
      <c r="W372" s="2" t="s">
        <v>80</v>
      </c>
      <c r="X372" s="4">
        <v>23</v>
      </c>
      <c r="Y372" s="4">
        <v>3</v>
      </c>
      <c r="Z372" s="4">
        <v>3</v>
      </c>
      <c r="AA372" s="4">
        <v>0</v>
      </c>
      <c r="AB372" s="4">
        <v>13</v>
      </c>
      <c r="AC372" s="2" t="s">
        <v>6739</v>
      </c>
      <c r="AD372" s="2" t="s">
        <v>6740</v>
      </c>
      <c r="AE372" s="2" t="s">
        <v>6741</v>
      </c>
      <c r="AF372" s="2" t="s">
        <v>6742</v>
      </c>
      <c r="AG372" s="2" t="s">
        <v>86</v>
      </c>
      <c r="AH372" s="2" t="s">
        <v>86</v>
      </c>
      <c r="AI372" s="2" t="s">
        <v>6743</v>
      </c>
      <c r="AJ372" s="2" t="s">
        <v>6744</v>
      </c>
      <c r="AK372" s="2" t="s">
        <v>440</v>
      </c>
      <c r="AL372" s="4">
        <v>2016</v>
      </c>
      <c r="AM372" s="4">
        <v>58</v>
      </c>
      <c r="AN372" s="4">
        <v>9</v>
      </c>
      <c r="AO372" s="2" t="s">
        <v>86</v>
      </c>
      <c r="AP372" s="2" t="s">
        <v>86</v>
      </c>
      <c r="AQ372" s="2" t="s">
        <v>86</v>
      </c>
      <c r="AR372" s="2" t="s">
        <v>86</v>
      </c>
      <c r="AS372" s="4">
        <v>772</v>
      </c>
      <c r="AT372" s="4">
        <v>777</v>
      </c>
      <c r="AU372" s="2" t="s">
        <v>86</v>
      </c>
      <c r="AV372" s="2" t="s">
        <v>86</v>
      </c>
      <c r="AW372" s="2" t="s">
        <v>86</v>
      </c>
      <c r="AX372" s="4">
        <v>6</v>
      </c>
      <c r="AY372" s="2" t="s">
        <v>6745</v>
      </c>
      <c r="AZ372" s="2" t="s">
        <v>92</v>
      </c>
      <c r="BA372" s="2" t="s">
        <v>3123</v>
      </c>
      <c r="BB372" s="2" t="s">
        <v>6746</v>
      </c>
      <c r="BC372" s="2" t="s">
        <v>86</v>
      </c>
      <c r="BD372" s="2" t="s">
        <v>86</v>
      </c>
      <c r="BE372" s="2" t="s">
        <v>86</v>
      </c>
      <c r="BF372" s="2" t="s">
        <v>86</v>
      </c>
      <c r="BG372" s="2" t="s">
        <v>95</v>
      </c>
      <c r="BH372" s="2" t="s">
        <v>6747</v>
      </c>
      <c r="BI372" s="2" t="str">
        <f>HYPERLINK("https%3A%2F%2Fwww.webofscience.com%2Fwos%2Fwoscc%2Ffull-record%2FWOS:000387243800011","View Full Record in Web of Science")</f>
        <v>View Full Record in Web of Science</v>
      </c>
    </row>
    <row r="373" spans="1:61" customFormat="1" ht="12.75" x14ac:dyDescent="0.2">
      <c r="A373" s="1">
        <v>370</v>
      </c>
      <c r="B373" s="1" t="s">
        <v>1068</v>
      </c>
      <c r="C373" s="1" t="s">
        <v>6748</v>
      </c>
      <c r="D373" s="2" t="s">
        <v>6749</v>
      </c>
      <c r="E373" s="2" t="s">
        <v>6750</v>
      </c>
      <c r="F373" s="3" t="str">
        <f>HYPERLINK("http://dx.doi.org/10.1007/s11157-021-09610-z","http://dx.doi.org/10.1007/s11157-021-09610-z")</f>
        <v>http://dx.doi.org/10.1007/s11157-021-09610-z</v>
      </c>
      <c r="G373" s="2" t="s">
        <v>61</v>
      </c>
      <c r="H373" s="2" t="s">
        <v>6751</v>
      </c>
      <c r="I373" s="2" t="s">
        <v>6752</v>
      </c>
      <c r="J373" s="2" t="s">
        <v>6753</v>
      </c>
      <c r="K373" s="2" t="s">
        <v>68</v>
      </c>
      <c r="L373" s="2" t="s">
        <v>6754</v>
      </c>
      <c r="M373" s="2" t="s">
        <v>6755</v>
      </c>
      <c r="N373" s="2" t="s">
        <v>6756</v>
      </c>
      <c r="O373" s="2" t="s">
        <v>106</v>
      </c>
      <c r="P373" s="2" t="s">
        <v>6757</v>
      </c>
      <c r="Q373" s="2" t="s">
        <v>6758</v>
      </c>
      <c r="R373" s="2" t="s">
        <v>6759</v>
      </c>
      <c r="S373" s="2" t="s">
        <v>6760</v>
      </c>
      <c r="T373" s="2" t="s">
        <v>86</v>
      </c>
      <c r="U373" s="2" t="s">
        <v>86</v>
      </c>
      <c r="V373" s="2" t="s">
        <v>86</v>
      </c>
      <c r="W373" s="2" t="s">
        <v>80</v>
      </c>
      <c r="X373" s="4">
        <v>91</v>
      </c>
      <c r="Y373" s="4">
        <v>8</v>
      </c>
      <c r="Z373" s="4">
        <v>8</v>
      </c>
      <c r="AA373" s="4">
        <v>14</v>
      </c>
      <c r="AB373" s="4">
        <v>63</v>
      </c>
      <c r="AC373" s="2" t="s">
        <v>139</v>
      </c>
      <c r="AD373" s="2" t="s">
        <v>140</v>
      </c>
      <c r="AE373" s="2" t="s">
        <v>141</v>
      </c>
      <c r="AF373" s="2" t="s">
        <v>6761</v>
      </c>
      <c r="AG373" s="2" t="s">
        <v>6762</v>
      </c>
      <c r="AH373" s="2" t="s">
        <v>86</v>
      </c>
      <c r="AI373" s="2" t="s">
        <v>6763</v>
      </c>
      <c r="AJ373" s="2" t="s">
        <v>6764</v>
      </c>
      <c r="AK373" s="2" t="s">
        <v>366</v>
      </c>
      <c r="AL373" s="4">
        <v>2022</v>
      </c>
      <c r="AM373" s="4">
        <v>21</v>
      </c>
      <c r="AN373" s="4">
        <v>1</v>
      </c>
      <c r="AO373" s="2" t="s">
        <v>86</v>
      </c>
      <c r="AP373" s="2" t="s">
        <v>86</v>
      </c>
      <c r="AQ373" s="2" t="s">
        <v>86</v>
      </c>
      <c r="AR373" s="2" t="s">
        <v>86</v>
      </c>
      <c r="AS373" s="4">
        <v>205</v>
      </c>
      <c r="AT373" s="4">
        <v>223</v>
      </c>
      <c r="AU373" s="2" t="s">
        <v>86</v>
      </c>
      <c r="AV373" s="2" t="s">
        <v>86</v>
      </c>
      <c r="AW373" s="2" t="s">
        <v>268</v>
      </c>
      <c r="AX373" s="4">
        <v>19</v>
      </c>
      <c r="AY373" s="2" t="s">
        <v>4262</v>
      </c>
      <c r="AZ373" s="2" t="s">
        <v>92</v>
      </c>
      <c r="BA373" s="2" t="s">
        <v>4263</v>
      </c>
      <c r="BB373" s="2" t="s">
        <v>6765</v>
      </c>
      <c r="BC373" s="2" t="s">
        <v>86</v>
      </c>
      <c r="BD373" s="2" t="s">
        <v>86</v>
      </c>
      <c r="BE373" s="2" t="s">
        <v>86</v>
      </c>
      <c r="BF373" s="2" t="s">
        <v>86</v>
      </c>
      <c r="BG373" s="2" t="s">
        <v>95</v>
      </c>
      <c r="BH373" s="2" t="s">
        <v>6766</v>
      </c>
      <c r="BI373" s="2" t="str">
        <f>HYPERLINK("https%3A%2F%2Fwww.webofscience.com%2Fwos%2Fwoscc%2Ffull-record%2FWOS:000741902000001","View Full Record in Web of Science")</f>
        <v>View Full Record in Web of Science</v>
      </c>
    </row>
    <row r="374" spans="1:61" customFormat="1" ht="12.75" x14ac:dyDescent="0.2">
      <c r="A374" s="1">
        <v>371</v>
      </c>
      <c r="B374" s="1" t="s">
        <v>1068</v>
      </c>
      <c r="C374" s="1" t="s">
        <v>6767</v>
      </c>
      <c r="D374" s="2" t="s">
        <v>6768</v>
      </c>
      <c r="E374" s="2" t="s">
        <v>6769</v>
      </c>
      <c r="F374" s="3" t="str">
        <f>HYPERLINK("http://dx.doi.org/10.1007/s11356-020-09905-8","http://dx.doi.org/10.1007/s11356-020-09905-8")</f>
        <v>http://dx.doi.org/10.1007/s11356-020-09905-8</v>
      </c>
      <c r="G374" s="2" t="s">
        <v>200</v>
      </c>
      <c r="H374" s="2" t="s">
        <v>6770</v>
      </c>
      <c r="I374" s="2" t="s">
        <v>6771</v>
      </c>
      <c r="J374" s="2" t="s">
        <v>67</v>
      </c>
      <c r="K374" s="2" t="s">
        <v>68</v>
      </c>
      <c r="L374" s="2" t="s">
        <v>6772</v>
      </c>
      <c r="M374" s="2" t="s">
        <v>6773</v>
      </c>
      <c r="N374" s="2" t="s">
        <v>6774</v>
      </c>
      <c r="O374" s="2" t="s">
        <v>6775</v>
      </c>
      <c r="P374" s="2" t="s">
        <v>6776</v>
      </c>
      <c r="Q374" s="2" t="s">
        <v>6777</v>
      </c>
      <c r="R374" s="2" t="s">
        <v>6778</v>
      </c>
      <c r="S374" s="2" t="s">
        <v>6779</v>
      </c>
      <c r="T374" s="2" t="s">
        <v>6780</v>
      </c>
      <c r="U374" s="2" t="s">
        <v>6781</v>
      </c>
      <c r="V374" s="2" t="s">
        <v>6782</v>
      </c>
      <c r="W374" s="2" t="s">
        <v>80</v>
      </c>
      <c r="X374" s="4">
        <v>78</v>
      </c>
      <c r="Y374" s="4">
        <v>2</v>
      </c>
      <c r="Z374" s="4">
        <v>2</v>
      </c>
      <c r="AA374" s="4">
        <v>3</v>
      </c>
      <c r="AB374" s="4">
        <v>37</v>
      </c>
      <c r="AC374" s="2" t="s">
        <v>81</v>
      </c>
      <c r="AD374" s="2" t="s">
        <v>82</v>
      </c>
      <c r="AE374" s="2" t="s">
        <v>83</v>
      </c>
      <c r="AF374" s="2" t="s">
        <v>84</v>
      </c>
      <c r="AG374" s="2" t="s">
        <v>85</v>
      </c>
      <c r="AH374" s="2" t="s">
        <v>86</v>
      </c>
      <c r="AI374" s="2" t="s">
        <v>87</v>
      </c>
      <c r="AJ374" s="2" t="s">
        <v>88</v>
      </c>
      <c r="AK374" s="2" t="s">
        <v>121</v>
      </c>
      <c r="AL374" s="4">
        <v>2020</v>
      </c>
      <c r="AM374" s="4">
        <v>27</v>
      </c>
      <c r="AN374" s="4">
        <v>31</v>
      </c>
      <c r="AO374" s="2" t="s">
        <v>86</v>
      </c>
      <c r="AP374" s="2" t="s">
        <v>86</v>
      </c>
      <c r="AQ374" s="2" t="s">
        <v>86</v>
      </c>
      <c r="AR374" s="2" t="s">
        <v>86</v>
      </c>
      <c r="AS374" s="4">
        <v>39041</v>
      </c>
      <c r="AT374" s="4">
        <v>39053</v>
      </c>
      <c r="AU374" s="2" t="s">
        <v>86</v>
      </c>
      <c r="AV374" s="2" t="s">
        <v>86</v>
      </c>
      <c r="AW374" s="2" t="s">
        <v>6783</v>
      </c>
      <c r="AX374" s="4">
        <v>13</v>
      </c>
      <c r="AY374" s="2" t="s">
        <v>91</v>
      </c>
      <c r="AZ374" s="2" t="s">
        <v>92</v>
      </c>
      <c r="BA374" s="2" t="s">
        <v>93</v>
      </c>
      <c r="BB374" s="2" t="s">
        <v>6784</v>
      </c>
      <c r="BC374" s="4">
        <v>32642893</v>
      </c>
      <c r="BD374" s="2" t="s">
        <v>86</v>
      </c>
      <c r="BE374" s="2" t="s">
        <v>86</v>
      </c>
      <c r="BF374" s="2" t="s">
        <v>86</v>
      </c>
      <c r="BG374" s="2" t="s">
        <v>95</v>
      </c>
      <c r="BH374" s="2" t="s">
        <v>6785</v>
      </c>
      <c r="BI374" s="2" t="str">
        <f>HYPERLINK("https%3A%2F%2Fwww.webofscience.com%2Fwos%2Fwoscc%2Ffull-record%2FWOS:000546523700002","View Full Record in Web of Science")</f>
        <v>View Full Record in Web of Science</v>
      </c>
    </row>
    <row r="375" spans="1:61" customFormat="1" ht="12.75" x14ac:dyDescent="0.2">
      <c r="A375" s="1">
        <v>372</v>
      </c>
      <c r="B375" s="1" t="s">
        <v>1068</v>
      </c>
      <c r="C375" s="1" t="s">
        <v>6786</v>
      </c>
      <c r="D375" s="2" t="s">
        <v>6787</v>
      </c>
      <c r="E375" s="2" t="s">
        <v>6788</v>
      </c>
      <c r="F375" s="3" t="str">
        <f>HYPERLINK("http://dx.doi.org/10.1007/s10443-021-09973-0","http://dx.doi.org/10.1007/s10443-021-09973-0")</f>
        <v>http://dx.doi.org/10.1007/s10443-021-09973-0</v>
      </c>
      <c r="G375" s="2" t="s">
        <v>200</v>
      </c>
      <c r="H375" s="2" t="s">
        <v>6789</v>
      </c>
      <c r="I375" s="2" t="s">
        <v>6790</v>
      </c>
      <c r="J375" s="2" t="s">
        <v>6791</v>
      </c>
      <c r="K375" s="2" t="s">
        <v>68</v>
      </c>
      <c r="L375" s="2" t="s">
        <v>6792</v>
      </c>
      <c r="M375" s="2" t="s">
        <v>6793</v>
      </c>
      <c r="N375" s="2" t="s">
        <v>6794</v>
      </c>
      <c r="O375" s="2" t="s">
        <v>6795</v>
      </c>
      <c r="P375" s="2" t="s">
        <v>6796</v>
      </c>
      <c r="Q375" s="2" t="s">
        <v>6797</v>
      </c>
      <c r="R375" s="2" t="s">
        <v>6798</v>
      </c>
      <c r="S375" s="2" t="s">
        <v>6799</v>
      </c>
      <c r="T375" s="2" t="s">
        <v>86</v>
      </c>
      <c r="U375" s="2" t="s">
        <v>86</v>
      </c>
      <c r="V375" s="2" t="s">
        <v>86</v>
      </c>
      <c r="W375" s="2" t="s">
        <v>80</v>
      </c>
      <c r="X375" s="4">
        <v>59</v>
      </c>
      <c r="Y375" s="4">
        <v>2</v>
      </c>
      <c r="Z375" s="4">
        <v>2</v>
      </c>
      <c r="AA375" s="4">
        <v>1</v>
      </c>
      <c r="AB375" s="4">
        <v>11</v>
      </c>
      <c r="AC375" s="2" t="s">
        <v>139</v>
      </c>
      <c r="AD375" s="2" t="s">
        <v>140</v>
      </c>
      <c r="AE375" s="2" t="s">
        <v>141</v>
      </c>
      <c r="AF375" s="2" t="s">
        <v>6800</v>
      </c>
      <c r="AG375" s="2" t="s">
        <v>6801</v>
      </c>
      <c r="AH375" s="2" t="s">
        <v>86</v>
      </c>
      <c r="AI375" s="2" t="s">
        <v>6802</v>
      </c>
      <c r="AJ375" s="2" t="s">
        <v>6803</v>
      </c>
      <c r="AK375" s="2" t="s">
        <v>89</v>
      </c>
      <c r="AL375" s="4">
        <v>2022</v>
      </c>
      <c r="AM375" s="4">
        <v>29</v>
      </c>
      <c r="AN375" s="4">
        <v>2</v>
      </c>
      <c r="AO375" s="2" t="s">
        <v>86</v>
      </c>
      <c r="AP375" s="2" t="s">
        <v>86</v>
      </c>
      <c r="AQ375" s="2" t="s">
        <v>86</v>
      </c>
      <c r="AR375" s="2" t="s">
        <v>86</v>
      </c>
      <c r="AS375" s="4">
        <v>451</v>
      </c>
      <c r="AT375" s="4">
        <v>472</v>
      </c>
      <c r="AU375" s="2" t="s">
        <v>86</v>
      </c>
      <c r="AV375" s="2" t="s">
        <v>86</v>
      </c>
      <c r="AW375" s="2" t="s">
        <v>242</v>
      </c>
      <c r="AX375" s="4">
        <v>22</v>
      </c>
      <c r="AY375" s="2" t="s">
        <v>6804</v>
      </c>
      <c r="AZ375" s="2" t="s">
        <v>92</v>
      </c>
      <c r="BA375" s="2" t="s">
        <v>3123</v>
      </c>
      <c r="BB375" s="2" t="s">
        <v>6805</v>
      </c>
      <c r="BC375" s="2" t="s">
        <v>86</v>
      </c>
      <c r="BD375" s="2" t="s">
        <v>86</v>
      </c>
      <c r="BE375" s="2" t="s">
        <v>86</v>
      </c>
      <c r="BF375" s="2" t="s">
        <v>86</v>
      </c>
      <c r="BG375" s="2" t="s">
        <v>95</v>
      </c>
      <c r="BH375" s="2" t="s">
        <v>6806</v>
      </c>
      <c r="BI375" s="2" t="str">
        <f>HYPERLINK("https%3A%2F%2Fwww.webofscience.com%2Fwos%2Fwoscc%2Ffull-record%2FWOS:000706570100001","View Full Record in Web of Science")</f>
        <v>View Full Record in Web of Science</v>
      </c>
    </row>
    <row r="376" spans="1:61" customFormat="1" ht="12.75" x14ac:dyDescent="0.2">
      <c r="A376" s="1">
        <v>373</v>
      </c>
      <c r="B376" s="1" t="s">
        <v>1068</v>
      </c>
      <c r="C376" s="1" t="s">
        <v>6807</v>
      </c>
      <c r="D376" s="2" t="s">
        <v>6808</v>
      </c>
      <c r="E376" s="2" t="s">
        <v>6809</v>
      </c>
      <c r="F376" s="3" t="str">
        <f>HYPERLINK("http://dx.doi.org/10.1080/09593330.2011.634441","http://dx.doi.org/10.1080/09593330.2011.634441")</f>
        <v>http://dx.doi.org/10.1080/09593330.2011.634441</v>
      </c>
      <c r="G376" s="2" t="s">
        <v>200</v>
      </c>
      <c r="H376" s="2" t="s">
        <v>6810</v>
      </c>
      <c r="I376" s="2" t="s">
        <v>6811</v>
      </c>
      <c r="J376" s="2" t="s">
        <v>6812</v>
      </c>
      <c r="K376" s="2" t="s">
        <v>68</v>
      </c>
      <c r="L376" s="2" t="s">
        <v>6813</v>
      </c>
      <c r="M376" s="2" t="s">
        <v>6814</v>
      </c>
      <c r="N376" s="2" t="s">
        <v>6815</v>
      </c>
      <c r="O376" s="2" t="s">
        <v>6816</v>
      </c>
      <c r="P376" s="2" t="s">
        <v>6817</v>
      </c>
      <c r="Q376" s="2" t="s">
        <v>6818</v>
      </c>
      <c r="R376" s="2" t="s">
        <v>6819</v>
      </c>
      <c r="S376" s="2" t="s">
        <v>6820</v>
      </c>
      <c r="T376" s="2" t="s">
        <v>6821</v>
      </c>
      <c r="U376" s="2" t="s">
        <v>5986</v>
      </c>
      <c r="V376" s="2" t="s">
        <v>6822</v>
      </c>
      <c r="W376" s="2" t="s">
        <v>80</v>
      </c>
      <c r="X376" s="4">
        <v>45</v>
      </c>
      <c r="Y376" s="4">
        <v>17</v>
      </c>
      <c r="Z376" s="4">
        <v>21</v>
      </c>
      <c r="AA376" s="4">
        <v>0</v>
      </c>
      <c r="AB376" s="4">
        <v>46</v>
      </c>
      <c r="AC376" s="2" t="s">
        <v>286</v>
      </c>
      <c r="AD376" s="2" t="s">
        <v>287</v>
      </c>
      <c r="AE376" s="2" t="s">
        <v>288</v>
      </c>
      <c r="AF376" s="2" t="s">
        <v>6823</v>
      </c>
      <c r="AG376" s="2" t="s">
        <v>6824</v>
      </c>
      <c r="AH376" s="2" t="s">
        <v>86</v>
      </c>
      <c r="AI376" s="2" t="s">
        <v>6825</v>
      </c>
      <c r="AJ376" s="2" t="s">
        <v>6826</v>
      </c>
      <c r="AK376" s="2" t="s">
        <v>86</v>
      </c>
      <c r="AL376" s="4">
        <v>2012</v>
      </c>
      <c r="AM376" s="4">
        <v>33</v>
      </c>
      <c r="AN376" s="4">
        <v>16</v>
      </c>
      <c r="AO376" s="2" t="s">
        <v>86</v>
      </c>
      <c r="AP376" s="2" t="s">
        <v>86</v>
      </c>
      <c r="AQ376" s="2" t="s">
        <v>86</v>
      </c>
      <c r="AR376" s="2" t="s">
        <v>86</v>
      </c>
      <c r="AS376" s="4">
        <v>1827</v>
      </c>
      <c r="AT376" s="4">
        <v>1837</v>
      </c>
      <c r="AU376" s="2" t="s">
        <v>86</v>
      </c>
      <c r="AV376" s="2" t="s">
        <v>86</v>
      </c>
      <c r="AW376" s="2" t="s">
        <v>86</v>
      </c>
      <c r="AX376" s="4">
        <v>11</v>
      </c>
      <c r="AY376" s="2" t="s">
        <v>91</v>
      </c>
      <c r="AZ376" s="2" t="s">
        <v>92</v>
      </c>
      <c r="BA376" s="2" t="s">
        <v>93</v>
      </c>
      <c r="BB376" s="2" t="s">
        <v>6827</v>
      </c>
      <c r="BC376" s="4">
        <v>23240176</v>
      </c>
      <c r="BD376" s="2" t="s">
        <v>86</v>
      </c>
      <c r="BE376" s="2" t="s">
        <v>86</v>
      </c>
      <c r="BF376" s="2" t="s">
        <v>86</v>
      </c>
      <c r="BG376" s="2" t="s">
        <v>95</v>
      </c>
      <c r="BH376" s="2" t="s">
        <v>6828</v>
      </c>
      <c r="BI376" s="2" t="str">
        <f>HYPERLINK("https%3A%2F%2Fwww.webofscience.com%2Fwos%2Fwoscc%2Ffull-record%2FWOS:000308103500001","View Full Record in Web of Science")</f>
        <v>View Full Record in Web of Science</v>
      </c>
    </row>
    <row r="377" spans="1:61" customFormat="1" ht="12.75" x14ac:dyDescent="0.2">
      <c r="A377" s="1">
        <v>374</v>
      </c>
      <c r="B377" s="1" t="s">
        <v>1068</v>
      </c>
      <c r="C377" s="1" t="s">
        <v>6829</v>
      </c>
      <c r="D377" s="2" t="s">
        <v>6830</v>
      </c>
      <c r="E377" s="2" t="s">
        <v>86</v>
      </c>
      <c r="F377" s="2" t="s">
        <v>86</v>
      </c>
      <c r="G377" s="2" t="s">
        <v>200</v>
      </c>
      <c r="H377" s="2" t="s">
        <v>6831</v>
      </c>
      <c r="I377" s="2" t="s">
        <v>6832</v>
      </c>
      <c r="J377" s="2" t="s">
        <v>6833</v>
      </c>
      <c r="K377" s="2" t="s">
        <v>68</v>
      </c>
      <c r="L377" s="2" t="s">
        <v>6834</v>
      </c>
      <c r="M377" s="2" t="s">
        <v>6835</v>
      </c>
      <c r="N377" s="2" t="s">
        <v>6836</v>
      </c>
      <c r="O377" s="2" t="s">
        <v>6837</v>
      </c>
      <c r="P377" s="2" t="s">
        <v>6838</v>
      </c>
      <c r="Q377" s="2" t="s">
        <v>6839</v>
      </c>
      <c r="R377" s="2" t="s">
        <v>6840</v>
      </c>
      <c r="S377" s="2" t="s">
        <v>86</v>
      </c>
      <c r="T377" s="2" t="s">
        <v>86</v>
      </c>
      <c r="U377" s="2" t="s">
        <v>86</v>
      </c>
      <c r="V377" s="2" t="s">
        <v>86</v>
      </c>
      <c r="W377" s="2" t="s">
        <v>80</v>
      </c>
      <c r="X377" s="4">
        <v>44</v>
      </c>
      <c r="Y377" s="4">
        <v>23</v>
      </c>
      <c r="Z377" s="4">
        <v>23</v>
      </c>
      <c r="AA377" s="4">
        <v>0</v>
      </c>
      <c r="AB377" s="4">
        <v>55</v>
      </c>
      <c r="AC377" s="2" t="s">
        <v>6841</v>
      </c>
      <c r="AD377" s="2" t="s">
        <v>630</v>
      </c>
      <c r="AE377" s="2" t="s">
        <v>6842</v>
      </c>
      <c r="AF377" s="2" t="s">
        <v>6843</v>
      </c>
      <c r="AG377" s="2" t="s">
        <v>86</v>
      </c>
      <c r="AH377" s="2" t="s">
        <v>86</v>
      </c>
      <c r="AI377" s="2" t="s">
        <v>6844</v>
      </c>
      <c r="AJ377" s="2" t="s">
        <v>6845</v>
      </c>
      <c r="AK377" s="2" t="s">
        <v>534</v>
      </c>
      <c r="AL377" s="4">
        <v>2012</v>
      </c>
      <c r="AM377" s="4">
        <v>28</v>
      </c>
      <c r="AN377" s="4">
        <v>2</v>
      </c>
      <c r="AO377" s="2" t="s">
        <v>86</v>
      </c>
      <c r="AP377" s="2" t="s">
        <v>86</v>
      </c>
      <c r="AQ377" s="2" t="s">
        <v>86</v>
      </c>
      <c r="AR377" s="2" t="s">
        <v>86</v>
      </c>
      <c r="AS377" s="4">
        <v>1175</v>
      </c>
      <c r="AT377" s="4">
        <v>1182</v>
      </c>
      <c r="AU377" s="2" t="s">
        <v>86</v>
      </c>
      <c r="AV377" s="2" t="s">
        <v>86</v>
      </c>
      <c r="AW377" s="2" t="s">
        <v>86</v>
      </c>
      <c r="AX377" s="4">
        <v>8</v>
      </c>
      <c r="AY377" s="2" t="s">
        <v>6846</v>
      </c>
      <c r="AZ377" s="2" t="s">
        <v>92</v>
      </c>
      <c r="BA377" s="2" t="s">
        <v>677</v>
      </c>
      <c r="BB377" s="2" t="s">
        <v>6847</v>
      </c>
      <c r="BC377" s="2" t="s">
        <v>86</v>
      </c>
      <c r="BD377" s="2" t="s">
        <v>86</v>
      </c>
      <c r="BE377" s="2" t="s">
        <v>86</v>
      </c>
      <c r="BF377" s="2" t="s">
        <v>86</v>
      </c>
      <c r="BG377" s="2" t="s">
        <v>95</v>
      </c>
      <c r="BH377" s="2" t="s">
        <v>6848</v>
      </c>
      <c r="BI377" s="2" t="str">
        <f>HYPERLINK("https%3A%2F%2Fwww.webofscience.com%2Fwos%2Fwoscc%2Ffull-record%2FWOS:000297087600065","View Full Record in Web of Science")</f>
        <v>View Full Record in Web of Science</v>
      </c>
    </row>
    <row r="378" spans="1:61" customFormat="1" ht="12.75" x14ac:dyDescent="0.2">
      <c r="A378" s="1">
        <v>375</v>
      </c>
      <c r="B378" s="1" t="s">
        <v>1068</v>
      </c>
      <c r="C378" s="1" t="s">
        <v>6849</v>
      </c>
      <c r="D378" s="2" t="s">
        <v>6850</v>
      </c>
      <c r="E378" s="2" t="s">
        <v>6851</v>
      </c>
      <c r="F378" s="3" t="str">
        <f>HYPERLINK("http://dx.doi.org/10.1002/pen.25272","http://dx.doi.org/10.1002/pen.25272")</f>
        <v>http://dx.doi.org/10.1002/pen.25272</v>
      </c>
      <c r="G378" s="2" t="s">
        <v>200</v>
      </c>
      <c r="H378" s="2" t="s">
        <v>6852</v>
      </c>
      <c r="I378" s="2" t="s">
        <v>6853</v>
      </c>
      <c r="J378" s="2" t="s">
        <v>5054</v>
      </c>
      <c r="K378" s="2" t="s">
        <v>68</v>
      </c>
      <c r="L378" s="2" t="s">
        <v>86</v>
      </c>
      <c r="M378" s="2" t="s">
        <v>6854</v>
      </c>
      <c r="N378" s="2" t="s">
        <v>6855</v>
      </c>
      <c r="O378" s="2" t="s">
        <v>5939</v>
      </c>
      <c r="P378" s="2" t="s">
        <v>6856</v>
      </c>
      <c r="Q378" s="2" t="s">
        <v>6857</v>
      </c>
      <c r="R378" s="2" t="s">
        <v>6858</v>
      </c>
      <c r="S378" s="2" t="s">
        <v>86</v>
      </c>
      <c r="T378" s="2" t="s">
        <v>86</v>
      </c>
      <c r="U378" s="2" t="s">
        <v>86</v>
      </c>
      <c r="V378" s="2" t="s">
        <v>86</v>
      </c>
      <c r="W378" s="2" t="s">
        <v>80</v>
      </c>
      <c r="X378" s="4">
        <v>35</v>
      </c>
      <c r="Y378" s="4">
        <v>40</v>
      </c>
      <c r="Z378" s="4">
        <v>40</v>
      </c>
      <c r="AA378" s="4">
        <v>2</v>
      </c>
      <c r="AB378" s="4">
        <v>17</v>
      </c>
      <c r="AC378" s="2" t="s">
        <v>956</v>
      </c>
      <c r="AD378" s="2" t="s">
        <v>957</v>
      </c>
      <c r="AE378" s="2" t="s">
        <v>958</v>
      </c>
      <c r="AF378" s="2" t="s">
        <v>5061</v>
      </c>
      <c r="AG378" s="2" t="s">
        <v>5062</v>
      </c>
      <c r="AH378" s="2" t="s">
        <v>86</v>
      </c>
      <c r="AI378" s="2" t="s">
        <v>5063</v>
      </c>
      <c r="AJ378" s="2" t="s">
        <v>5064</v>
      </c>
      <c r="AK378" s="2" t="s">
        <v>534</v>
      </c>
      <c r="AL378" s="4">
        <v>2020</v>
      </c>
      <c r="AM378" s="4">
        <v>60</v>
      </c>
      <c r="AN378" s="4">
        <v>1</v>
      </c>
      <c r="AO378" s="2" t="s">
        <v>86</v>
      </c>
      <c r="AP378" s="2" t="s">
        <v>86</v>
      </c>
      <c r="AQ378" s="2" t="s">
        <v>86</v>
      </c>
      <c r="AR378" s="2" t="s">
        <v>86</v>
      </c>
      <c r="AS378" s="4">
        <v>192</v>
      </c>
      <c r="AT378" s="4">
        <v>201</v>
      </c>
      <c r="AU378" s="2" t="s">
        <v>86</v>
      </c>
      <c r="AV378" s="2" t="s">
        <v>86</v>
      </c>
      <c r="AW378" s="2" t="s">
        <v>6859</v>
      </c>
      <c r="AX378" s="4">
        <v>10</v>
      </c>
      <c r="AY378" s="2" t="s">
        <v>5065</v>
      </c>
      <c r="AZ378" s="2" t="s">
        <v>92</v>
      </c>
      <c r="BA378" s="2" t="s">
        <v>5066</v>
      </c>
      <c r="BB378" s="2" t="s">
        <v>6860</v>
      </c>
      <c r="BC378" s="2" t="s">
        <v>86</v>
      </c>
      <c r="BD378" s="2" t="s">
        <v>86</v>
      </c>
      <c r="BE378" s="2" t="s">
        <v>86</v>
      </c>
      <c r="BF378" s="2" t="s">
        <v>86</v>
      </c>
      <c r="BG378" s="2" t="s">
        <v>95</v>
      </c>
      <c r="BH378" s="2" t="s">
        <v>6861</v>
      </c>
      <c r="BI378" s="2" t="str">
        <f>HYPERLINK("https%3A%2F%2Fwww.webofscience.com%2Fwos%2Fwoscc%2Ffull-record%2FWOS:000494202100001","View Full Record in Web of Science")</f>
        <v>View Full Record in Web of Science</v>
      </c>
    </row>
    <row r="379" spans="1:61" customFormat="1" ht="12.75" x14ac:dyDescent="0.2">
      <c r="A379" s="1">
        <v>376</v>
      </c>
      <c r="B379" s="1" t="s">
        <v>1068</v>
      </c>
      <c r="C379" s="1" t="s">
        <v>6862</v>
      </c>
      <c r="D379" s="2" t="s">
        <v>6863</v>
      </c>
      <c r="E379" s="2" t="s">
        <v>6864</v>
      </c>
      <c r="F379" s="3" t="str">
        <f>HYPERLINK("http://dx.doi.org/10.3390/s16040496","http://dx.doi.org/10.3390/s16040496")</f>
        <v>http://dx.doi.org/10.3390/s16040496</v>
      </c>
      <c r="G379" s="2" t="s">
        <v>200</v>
      </c>
      <c r="H379" s="2" t="s">
        <v>6865</v>
      </c>
      <c r="I379" s="2" t="s">
        <v>6866</v>
      </c>
      <c r="J379" s="2" t="s">
        <v>5120</v>
      </c>
      <c r="K379" s="2" t="s">
        <v>68</v>
      </c>
      <c r="L379" s="2" t="s">
        <v>6867</v>
      </c>
      <c r="M379" s="2" t="s">
        <v>6868</v>
      </c>
      <c r="N379" s="2" t="s">
        <v>6869</v>
      </c>
      <c r="O379" s="2" t="s">
        <v>6870</v>
      </c>
      <c r="P379" s="2" t="s">
        <v>6871</v>
      </c>
      <c r="Q379" s="2" t="s">
        <v>6872</v>
      </c>
      <c r="R379" s="2" t="s">
        <v>6873</v>
      </c>
      <c r="S379" s="2" t="s">
        <v>6874</v>
      </c>
      <c r="T379" s="2" t="s">
        <v>6875</v>
      </c>
      <c r="U379" s="2" t="s">
        <v>6876</v>
      </c>
      <c r="V379" s="2" t="s">
        <v>6877</v>
      </c>
      <c r="W379" s="2" t="s">
        <v>80</v>
      </c>
      <c r="X379" s="4">
        <v>41</v>
      </c>
      <c r="Y379" s="4">
        <v>24</v>
      </c>
      <c r="Z379" s="4">
        <v>24</v>
      </c>
      <c r="AA379" s="4">
        <v>3</v>
      </c>
      <c r="AB379" s="4">
        <v>34</v>
      </c>
      <c r="AC379" s="2" t="s">
        <v>211</v>
      </c>
      <c r="AD379" s="2" t="s">
        <v>212</v>
      </c>
      <c r="AE379" s="2" t="s">
        <v>213</v>
      </c>
      <c r="AF379" s="2" t="s">
        <v>86</v>
      </c>
      <c r="AG379" s="2" t="s">
        <v>5132</v>
      </c>
      <c r="AH379" s="2" t="s">
        <v>86</v>
      </c>
      <c r="AI379" s="2" t="s">
        <v>5133</v>
      </c>
      <c r="AJ379" s="2" t="s">
        <v>5134</v>
      </c>
      <c r="AK379" s="2" t="s">
        <v>89</v>
      </c>
      <c r="AL379" s="4">
        <v>2016</v>
      </c>
      <c r="AM379" s="4">
        <v>16</v>
      </c>
      <c r="AN379" s="4">
        <v>4</v>
      </c>
      <c r="AO379" s="2" t="s">
        <v>86</v>
      </c>
      <c r="AP379" s="2" t="s">
        <v>86</v>
      </c>
      <c r="AQ379" s="2" t="s">
        <v>86</v>
      </c>
      <c r="AR379" s="2" t="s">
        <v>86</v>
      </c>
      <c r="AS379" s="2" t="s">
        <v>86</v>
      </c>
      <c r="AT379" s="2" t="s">
        <v>86</v>
      </c>
      <c r="AU379" s="4">
        <v>496</v>
      </c>
      <c r="AV379" s="2" t="s">
        <v>86</v>
      </c>
      <c r="AW379" s="2" t="s">
        <v>86</v>
      </c>
      <c r="AX379" s="4">
        <v>17</v>
      </c>
      <c r="AY379" s="2" t="s">
        <v>5135</v>
      </c>
      <c r="AZ379" s="2" t="s">
        <v>92</v>
      </c>
      <c r="BA379" s="2" t="s">
        <v>5136</v>
      </c>
      <c r="BB379" s="2" t="s">
        <v>6878</v>
      </c>
      <c r="BC379" s="4">
        <v>27070615</v>
      </c>
      <c r="BD379" s="2" t="s">
        <v>6879</v>
      </c>
      <c r="BE379" s="2" t="s">
        <v>86</v>
      </c>
      <c r="BF379" s="2" t="s">
        <v>86</v>
      </c>
      <c r="BG379" s="2" t="s">
        <v>95</v>
      </c>
      <c r="BH379" s="2" t="s">
        <v>6880</v>
      </c>
      <c r="BI379" s="2" t="str">
        <f>HYPERLINK("https%3A%2F%2Fwww.webofscience.com%2Fwos%2Fwoscc%2Ffull-record%2FWOS:000375153700076","View Full Record in Web of Science")</f>
        <v>View Full Record in Web of Science</v>
      </c>
    </row>
    <row r="380" spans="1:61" customFormat="1" ht="12.75" x14ac:dyDescent="0.2">
      <c r="A380" s="1">
        <v>377</v>
      </c>
      <c r="B380" s="1" t="s">
        <v>1068</v>
      </c>
      <c r="C380" s="1" t="s">
        <v>6881</v>
      </c>
      <c r="D380" s="2" t="s">
        <v>6882</v>
      </c>
      <c r="E380" s="2" t="s">
        <v>86</v>
      </c>
      <c r="F380" s="2" t="s">
        <v>86</v>
      </c>
      <c r="G380" s="2" t="s">
        <v>200</v>
      </c>
      <c r="H380" s="2" t="s">
        <v>6883</v>
      </c>
      <c r="I380" s="2" t="s">
        <v>6884</v>
      </c>
      <c r="J380" s="2" t="s">
        <v>1918</v>
      </c>
      <c r="K380" s="2" t="s">
        <v>68</v>
      </c>
      <c r="L380" s="2" t="s">
        <v>6885</v>
      </c>
      <c r="M380" s="2" t="s">
        <v>6886</v>
      </c>
      <c r="N380" s="2" t="s">
        <v>6887</v>
      </c>
      <c r="O380" s="2" t="s">
        <v>6888</v>
      </c>
      <c r="P380" s="2" t="s">
        <v>6889</v>
      </c>
      <c r="Q380" s="2" t="s">
        <v>6890</v>
      </c>
      <c r="R380" s="2" t="s">
        <v>6891</v>
      </c>
      <c r="S380" s="2" t="s">
        <v>6892</v>
      </c>
      <c r="T380" s="2" t="s">
        <v>86</v>
      </c>
      <c r="U380" s="2" t="s">
        <v>86</v>
      </c>
      <c r="V380" s="2" t="s">
        <v>86</v>
      </c>
      <c r="W380" s="2" t="s">
        <v>80</v>
      </c>
      <c r="X380" s="4">
        <v>19</v>
      </c>
      <c r="Y380" s="4">
        <v>5</v>
      </c>
      <c r="Z380" s="4">
        <v>5</v>
      </c>
      <c r="AA380" s="4">
        <v>0</v>
      </c>
      <c r="AB380" s="4">
        <v>12</v>
      </c>
      <c r="AC380" s="2" t="s">
        <v>1927</v>
      </c>
      <c r="AD380" s="2" t="s">
        <v>1928</v>
      </c>
      <c r="AE380" s="2" t="s">
        <v>1929</v>
      </c>
      <c r="AF380" s="2" t="s">
        <v>1930</v>
      </c>
      <c r="AG380" s="2" t="s">
        <v>1931</v>
      </c>
      <c r="AH380" s="2" t="s">
        <v>86</v>
      </c>
      <c r="AI380" s="2" t="s">
        <v>1932</v>
      </c>
      <c r="AJ380" s="2" t="s">
        <v>1933</v>
      </c>
      <c r="AK380" s="2" t="s">
        <v>86</v>
      </c>
      <c r="AL380" s="4">
        <v>2008</v>
      </c>
      <c r="AM380" s="4">
        <v>17</v>
      </c>
      <c r="AN380" s="4">
        <v>4</v>
      </c>
      <c r="AO380" s="2" t="s">
        <v>86</v>
      </c>
      <c r="AP380" s="2" t="s">
        <v>86</v>
      </c>
      <c r="AQ380" s="2" t="s">
        <v>86</v>
      </c>
      <c r="AR380" s="2" t="s">
        <v>86</v>
      </c>
      <c r="AS380" s="4">
        <v>420</v>
      </c>
      <c r="AT380" s="4">
        <v>426</v>
      </c>
      <c r="AU380" s="2" t="s">
        <v>86</v>
      </c>
      <c r="AV380" s="2" t="s">
        <v>86</v>
      </c>
      <c r="AW380" s="2" t="s">
        <v>86</v>
      </c>
      <c r="AX380" s="4">
        <v>7</v>
      </c>
      <c r="AY380" s="2" t="s">
        <v>91</v>
      </c>
      <c r="AZ380" s="2" t="s">
        <v>92</v>
      </c>
      <c r="BA380" s="2" t="s">
        <v>93</v>
      </c>
      <c r="BB380" s="2" t="s">
        <v>6893</v>
      </c>
      <c r="BC380" s="2" t="s">
        <v>86</v>
      </c>
      <c r="BD380" s="2" t="s">
        <v>86</v>
      </c>
      <c r="BE380" s="2" t="s">
        <v>86</v>
      </c>
      <c r="BF380" s="2" t="s">
        <v>86</v>
      </c>
      <c r="BG380" s="2" t="s">
        <v>95</v>
      </c>
      <c r="BH380" s="2" t="s">
        <v>6894</v>
      </c>
      <c r="BI380" s="2" t="str">
        <f>HYPERLINK("https%3A%2F%2Fwww.webofscience.com%2Fwos%2Fwoscc%2Ffull-record%2FWOS:000255898500004","View Full Record in Web of Science")</f>
        <v>View Full Record in Web of Science</v>
      </c>
    </row>
    <row r="381" spans="1:61" customFormat="1" ht="12.75" x14ac:dyDescent="0.2">
      <c r="A381" s="1">
        <v>378</v>
      </c>
      <c r="B381" s="1" t="s">
        <v>1068</v>
      </c>
      <c r="C381" s="1" t="s">
        <v>6895</v>
      </c>
      <c r="D381" s="2" t="s">
        <v>6896</v>
      </c>
      <c r="E381" s="2" t="s">
        <v>86</v>
      </c>
      <c r="F381" s="2" t="s">
        <v>86</v>
      </c>
      <c r="G381" s="2" t="s">
        <v>200</v>
      </c>
      <c r="H381" s="2" t="s">
        <v>6897</v>
      </c>
      <c r="I381" s="2" t="s">
        <v>6897</v>
      </c>
      <c r="J381" s="2" t="s">
        <v>6898</v>
      </c>
      <c r="K381" s="2" t="s">
        <v>6899</v>
      </c>
      <c r="L381" s="2" t="s">
        <v>6900</v>
      </c>
      <c r="M381" s="2" t="s">
        <v>86</v>
      </c>
      <c r="N381" s="2" t="s">
        <v>6901</v>
      </c>
      <c r="O381" s="2" t="s">
        <v>4730</v>
      </c>
      <c r="P381" s="2" t="s">
        <v>6902</v>
      </c>
      <c r="Q381" s="2" t="s">
        <v>6903</v>
      </c>
      <c r="R381" s="2" t="s">
        <v>86</v>
      </c>
      <c r="S381" s="2" t="s">
        <v>86</v>
      </c>
      <c r="T381" s="2" t="s">
        <v>86</v>
      </c>
      <c r="U381" s="2" t="s">
        <v>86</v>
      </c>
      <c r="V381" s="2" t="s">
        <v>86</v>
      </c>
      <c r="W381" s="2" t="s">
        <v>80</v>
      </c>
      <c r="X381" s="4">
        <v>7</v>
      </c>
      <c r="Y381" s="4">
        <v>0</v>
      </c>
      <c r="Z381" s="4">
        <v>0</v>
      </c>
      <c r="AA381" s="4">
        <v>0</v>
      </c>
      <c r="AB381" s="4">
        <v>1</v>
      </c>
      <c r="AC381" s="2" t="s">
        <v>6904</v>
      </c>
      <c r="AD381" s="2" t="s">
        <v>6905</v>
      </c>
      <c r="AE381" s="2" t="s">
        <v>6906</v>
      </c>
      <c r="AF381" s="2" t="s">
        <v>6907</v>
      </c>
      <c r="AG381" s="2" t="s">
        <v>86</v>
      </c>
      <c r="AH381" s="2" t="s">
        <v>86</v>
      </c>
      <c r="AI381" s="2" t="s">
        <v>6898</v>
      </c>
      <c r="AJ381" s="2" t="s">
        <v>6908</v>
      </c>
      <c r="AK381" s="2" t="s">
        <v>6909</v>
      </c>
      <c r="AL381" s="4">
        <v>2002</v>
      </c>
      <c r="AM381" s="4">
        <v>44</v>
      </c>
      <c r="AN381" s="2" t="s">
        <v>1532</v>
      </c>
      <c r="AO381" s="2" t="s">
        <v>86</v>
      </c>
      <c r="AP381" s="2" t="s">
        <v>86</v>
      </c>
      <c r="AQ381" s="2" t="s">
        <v>86</v>
      </c>
      <c r="AR381" s="2" t="s">
        <v>86</v>
      </c>
      <c r="AS381" s="4">
        <v>27</v>
      </c>
      <c r="AT381" s="4">
        <v>33</v>
      </c>
      <c r="AU381" s="2" t="s">
        <v>86</v>
      </c>
      <c r="AV381" s="2" t="s">
        <v>86</v>
      </c>
      <c r="AW381" s="2" t="s">
        <v>86</v>
      </c>
      <c r="AX381" s="4">
        <v>7</v>
      </c>
      <c r="AY381" s="2" t="s">
        <v>6910</v>
      </c>
      <c r="AZ381" s="2" t="s">
        <v>92</v>
      </c>
      <c r="BA381" s="2" t="s">
        <v>345</v>
      </c>
      <c r="BB381" s="2" t="s">
        <v>6911</v>
      </c>
      <c r="BC381" s="2" t="s">
        <v>86</v>
      </c>
      <c r="BD381" s="2" t="s">
        <v>86</v>
      </c>
      <c r="BE381" s="2" t="s">
        <v>86</v>
      </c>
      <c r="BF381" s="2" t="s">
        <v>86</v>
      </c>
      <c r="BG381" s="2" t="s">
        <v>95</v>
      </c>
      <c r="BH381" s="2" t="s">
        <v>6912</v>
      </c>
      <c r="BI381" s="2" t="str">
        <f>HYPERLINK("https%3A%2F%2Fwww.webofscience.com%2Fwos%2Fwoscc%2Ffull-record%2FWOS:000181201900004","View Full Record in Web of Science")</f>
        <v>View Full Record in Web of Science</v>
      </c>
    </row>
    <row r="382" spans="1:61" customFormat="1" ht="12.75" x14ac:dyDescent="0.2">
      <c r="A382" s="1">
        <v>379</v>
      </c>
      <c r="B382" s="1" t="s">
        <v>1068</v>
      </c>
      <c r="C382" s="1" t="s">
        <v>6913</v>
      </c>
      <c r="D382" s="2" t="s">
        <v>6914</v>
      </c>
      <c r="E382" s="2" t="s">
        <v>6915</v>
      </c>
      <c r="F382" s="3" t="str">
        <f>HYPERLINK("http://dx.doi.org/10.1590/1678-4162-12659","http://dx.doi.org/10.1590/1678-4162-12659")</f>
        <v>http://dx.doi.org/10.1590/1678-4162-12659</v>
      </c>
      <c r="G382" s="2" t="s">
        <v>200</v>
      </c>
      <c r="H382" s="2" t="s">
        <v>6916</v>
      </c>
      <c r="I382" s="2" t="s">
        <v>6917</v>
      </c>
      <c r="J382" s="2" t="s">
        <v>6918</v>
      </c>
      <c r="K382" s="2" t="s">
        <v>68</v>
      </c>
      <c r="L382" s="2" t="s">
        <v>6919</v>
      </c>
      <c r="M382" s="2" t="s">
        <v>6920</v>
      </c>
      <c r="N382" s="2" t="s">
        <v>6921</v>
      </c>
      <c r="O382" s="2" t="s">
        <v>6922</v>
      </c>
      <c r="P382" s="2" t="s">
        <v>6923</v>
      </c>
      <c r="Q382" s="2" t="s">
        <v>6924</v>
      </c>
      <c r="R382" s="2" t="s">
        <v>6925</v>
      </c>
      <c r="S382" s="2" t="s">
        <v>6926</v>
      </c>
      <c r="T382" s="2" t="s">
        <v>86</v>
      </c>
      <c r="U382" s="2" t="s">
        <v>86</v>
      </c>
      <c r="V382" s="2" t="s">
        <v>86</v>
      </c>
      <c r="W382" s="2" t="s">
        <v>80</v>
      </c>
      <c r="X382" s="4">
        <v>46</v>
      </c>
      <c r="Y382" s="4">
        <v>0</v>
      </c>
      <c r="Z382" s="4">
        <v>0</v>
      </c>
      <c r="AA382" s="4">
        <v>2</v>
      </c>
      <c r="AB382" s="4">
        <v>4</v>
      </c>
      <c r="AC382" s="2" t="s">
        <v>6927</v>
      </c>
      <c r="AD382" s="2" t="s">
        <v>6928</v>
      </c>
      <c r="AE382" s="2" t="s">
        <v>6929</v>
      </c>
      <c r="AF382" s="2" t="s">
        <v>6930</v>
      </c>
      <c r="AG382" s="2" t="s">
        <v>6931</v>
      </c>
      <c r="AH382" s="2" t="s">
        <v>86</v>
      </c>
      <c r="AI382" s="2" t="s">
        <v>6932</v>
      </c>
      <c r="AJ382" s="2" t="s">
        <v>6933</v>
      </c>
      <c r="AK382" s="2" t="s">
        <v>6934</v>
      </c>
      <c r="AL382" s="4">
        <v>2022</v>
      </c>
      <c r="AM382" s="4">
        <v>74</v>
      </c>
      <c r="AN382" s="4">
        <v>3</v>
      </c>
      <c r="AO382" s="2" t="s">
        <v>86</v>
      </c>
      <c r="AP382" s="2" t="s">
        <v>86</v>
      </c>
      <c r="AQ382" s="2" t="s">
        <v>86</v>
      </c>
      <c r="AR382" s="2" t="s">
        <v>86</v>
      </c>
      <c r="AS382" s="4">
        <v>457</v>
      </c>
      <c r="AT382" s="4">
        <v>472</v>
      </c>
      <c r="AU382" s="2" t="s">
        <v>86</v>
      </c>
      <c r="AV382" s="2" t="s">
        <v>86</v>
      </c>
      <c r="AW382" s="2" t="s">
        <v>86</v>
      </c>
      <c r="AX382" s="4">
        <v>16</v>
      </c>
      <c r="AY382" s="2" t="s">
        <v>1881</v>
      </c>
      <c r="AZ382" s="2" t="s">
        <v>92</v>
      </c>
      <c r="BA382" s="2" t="s">
        <v>1881</v>
      </c>
      <c r="BB382" s="2" t="s">
        <v>6935</v>
      </c>
      <c r="BC382" s="2" t="s">
        <v>86</v>
      </c>
      <c r="BD382" s="2" t="s">
        <v>321</v>
      </c>
      <c r="BE382" s="2" t="s">
        <v>86</v>
      </c>
      <c r="BF382" s="2" t="s">
        <v>86</v>
      </c>
      <c r="BG382" s="2" t="s">
        <v>95</v>
      </c>
      <c r="BH382" s="2" t="s">
        <v>6936</v>
      </c>
      <c r="BI382" s="2" t="str">
        <f>HYPERLINK("https%3A%2F%2Fwww.webofscience.com%2Fwos%2Fwoscc%2Ffull-record%2FWOS:000819849300011","View Full Record in Web of Science")</f>
        <v>View Full Record in Web of Science</v>
      </c>
    </row>
    <row r="383" spans="1:61" customFormat="1" ht="12.75" x14ac:dyDescent="0.2">
      <c r="A383" s="1">
        <v>380</v>
      </c>
      <c r="B383" s="1" t="s">
        <v>1068</v>
      </c>
      <c r="C383" s="1" t="s">
        <v>6937</v>
      </c>
      <c r="D383" s="2" t="s">
        <v>6938</v>
      </c>
      <c r="E383" s="2" t="s">
        <v>6939</v>
      </c>
      <c r="F383" s="3" t="str">
        <f>HYPERLINK("http://dx.doi.org/10.1016/j.polymertesting.2016.04.015","http://dx.doi.org/10.1016/j.polymertesting.2016.04.015")</f>
        <v>http://dx.doi.org/10.1016/j.polymertesting.2016.04.015</v>
      </c>
      <c r="G383" s="2" t="s">
        <v>200</v>
      </c>
      <c r="H383" s="2" t="s">
        <v>6940</v>
      </c>
      <c r="I383" s="2" t="s">
        <v>6941</v>
      </c>
      <c r="J383" s="2" t="s">
        <v>6942</v>
      </c>
      <c r="K383" s="2" t="s">
        <v>68</v>
      </c>
      <c r="L383" s="2" t="s">
        <v>6943</v>
      </c>
      <c r="M383" s="2" t="s">
        <v>6944</v>
      </c>
      <c r="N383" s="2" t="s">
        <v>6945</v>
      </c>
      <c r="O383" s="2" t="s">
        <v>6946</v>
      </c>
      <c r="P383" s="2" t="s">
        <v>6947</v>
      </c>
      <c r="Q383" s="2" t="s">
        <v>6948</v>
      </c>
      <c r="R383" s="2" t="s">
        <v>6949</v>
      </c>
      <c r="S383" s="2" t="s">
        <v>6950</v>
      </c>
      <c r="T383" s="2" t="s">
        <v>6951</v>
      </c>
      <c r="U383" s="2" t="s">
        <v>6952</v>
      </c>
      <c r="V383" s="2" t="s">
        <v>6953</v>
      </c>
      <c r="W383" s="2" t="s">
        <v>80</v>
      </c>
      <c r="X383" s="4">
        <v>24</v>
      </c>
      <c r="Y383" s="4">
        <v>27</v>
      </c>
      <c r="Z383" s="4">
        <v>27</v>
      </c>
      <c r="AA383" s="4">
        <v>4</v>
      </c>
      <c r="AB383" s="4">
        <v>31</v>
      </c>
      <c r="AC383" s="2" t="s">
        <v>114</v>
      </c>
      <c r="AD383" s="2" t="s">
        <v>115</v>
      </c>
      <c r="AE383" s="2" t="s">
        <v>116</v>
      </c>
      <c r="AF383" s="2" t="s">
        <v>6954</v>
      </c>
      <c r="AG383" s="2" t="s">
        <v>6955</v>
      </c>
      <c r="AH383" s="2" t="s">
        <v>86</v>
      </c>
      <c r="AI383" s="2" t="s">
        <v>6956</v>
      </c>
      <c r="AJ383" s="2" t="s">
        <v>6957</v>
      </c>
      <c r="AK383" s="2" t="s">
        <v>1458</v>
      </c>
      <c r="AL383" s="4">
        <v>2016</v>
      </c>
      <c r="AM383" s="4">
        <v>52</v>
      </c>
      <c r="AN383" s="2" t="s">
        <v>86</v>
      </c>
      <c r="AO383" s="2" t="s">
        <v>86</v>
      </c>
      <c r="AP383" s="2" t="s">
        <v>86</v>
      </c>
      <c r="AQ383" s="2" t="s">
        <v>86</v>
      </c>
      <c r="AR383" s="2" t="s">
        <v>86</v>
      </c>
      <c r="AS383" s="4">
        <v>192</v>
      </c>
      <c r="AT383" s="4">
        <v>199</v>
      </c>
      <c r="AU383" s="2" t="s">
        <v>86</v>
      </c>
      <c r="AV383" s="2" t="s">
        <v>86</v>
      </c>
      <c r="AW383" s="2" t="s">
        <v>86</v>
      </c>
      <c r="AX383" s="4">
        <v>8</v>
      </c>
      <c r="AY383" s="2" t="s">
        <v>6958</v>
      </c>
      <c r="AZ383" s="2" t="s">
        <v>92</v>
      </c>
      <c r="BA383" s="2" t="s">
        <v>4304</v>
      </c>
      <c r="BB383" s="2" t="s">
        <v>6959</v>
      </c>
      <c r="BC383" s="2" t="s">
        <v>86</v>
      </c>
      <c r="BD383" s="2" t="s">
        <v>1491</v>
      </c>
      <c r="BE383" s="2" t="s">
        <v>86</v>
      </c>
      <c r="BF383" s="2" t="s">
        <v>86</v>
      </c>
      <c r="BG383" s="2" t="s">
        <v>95</v>
      </c>
      <c r="BH383" s="2" t="s">
        <v>6960</v>
      </c>
      <c r="BI383" s="2" t="str">
        <f>HYPERLINK("https%3A%2F%2Fwww.webofscience.com%2Fwos%2Fwoscc%2Ffull-record%2FWOS:000379365900026","View Full Record in Web of Science")</f>
        <v>View Full Record in Web of Science</v>
      </c>
    </row>
    <row r="384" spans="1:61" customFormat="1" ht="12.75" x14ac:dyDescent="0.2">
      <c r="A384" s="1">
        <v>381</v>
      </c>
      <c r="B384" s="1" t="s">
        <v>1068</v>
      </c>
      <c r="C384" s="1" t="s">
        <v>6961</v>
      </c>
      <c r="D384" s="2" t="s">
        <v>6962</v>
      </c>
      <c r="E384" s="2" t="s">
        <v>6963</v>
      </c>
      <c r="F384" s="3" t="str">
        <f>HYPERLINK("http://dx.doi.org/10.1002/clen.200700142","http://dx.doi.org/10.1002/clen.200700142")</f>
        <v>http://dx.doi.org/10.1002/clen.200700142</v>
      </c>
      <c r="G384" s="2" t="s">
        <v>200</v>
      </c>
      <c r="H384" s="2" t="s">
        <v>6964</v>
      </c>
      <c r="I384" s="2" t="s">
        <v>6965</v>
      </c>
      <c r="J384" s="2" t="s">
        <v>6966</v>
      </c>
      <c r="K384" s="2" t="s">
        <v>68</v>
      </c>
      <c r="L384" s="2" t="s">
        <v>6967</v>
      </c>
      <c r="M384" s="2" t="s">
        <v>6968</v>
      </c>
      <c r="N384" s="2" t="s">
        <v>6969</v>
      </c>
      <c r="O384" s="2" t="s">
        <v>1267</v>
      </c>
      <c r="P384" s="2" t="s">
        <v>6970</v>
      </c>
      <c r="Q384" s="2" t="s">
        <v>6971</v>
      </c>
      <c r="R384" s="2" t="s">
        <v>86</v>
      </c>
      <c r="S384" s="2" t="s">
        <v>86</v>
      </c>
      <c r="T384" s="2" t="s">
        <v>86</v>
      </c>
      <c r="U384" s="2" t="s">
        <v>86</v>
      </c>
      <c r="V384" s="2" t="s">
        <v>86</v>
      </c>
      <c r="W384" s="2" t="s">
        <v>80</v>
      </c>
      <c r="X384" s="4">
        <v>21</v>
      </c>
      <c r="Y384" s="4">
        <v>9</v>
      </c>
      <c r="Z384" s="4">
        <v>10</v>
      </c>
      <c r="AA384" s="4">
        <v>3</v>
      </c>
      <c r="AB384" s="4">
        <v>36</v>
      </c>
      <c r="AC384" s="2" t="s">
        <v>6972</v>
      </c>
      <c r="AD384" s="2" t="s">
        <v>6973</v>
      </c>
      <c r="AE384" s="2" t="s">
        <v>6974</v>
      </c>
      <c r="AF384" s="2" t="s">
        <v>6975</v>
      </c>
      <c r="AG384" s="2" t="s">
        <v>86</v>
      </c>
      <c r="AH384" s="2" t="s">
        <v>86</v>
      </c>
      <c r="AI384" s="2" t="s">
        <v>6966</v>
      </c>
      <c r="AJ384" s="2" t="s">
        <v>6976</v>
      </c>
      <c r="AK384" s="2" t="s">
        <v>217</v>
      </c>
      <c r="AL384" s="4">
        <v>2007</v>
      </c>
      <c r="AM384" s="4">
        <v>35</v>
      </c>
      <c r="AN384" s="4">
        <v>6</v>
      </c>
      <c r="AO384" s="2" t="s">
        <v>86</v>
      </c>
      <c r="AP384" s="2" t="s">
        <v>86</v>
      </c>
      <c r="AQ384" s="2" t="s">
        <v>86</v>
      </c>
      <c r="AR384" s="2" t="s">
        <v>86</v>
      </c>
      <c r="AS384" s="4">
        <v>571</v>
      </c>
      <c r="AT384" s="4">
        <v>575</v>
      </c>
      <c r="AU384" s="2" t="s">
        <v>86</v>
      </c>
      <c r="AV384" s="2" t="s">
        <v>86</v>
      </c>
      <c r="AW384" s="2" t="s">
        <v>86</v>
      </c>
      <c r="AX384" s="4">
        <v>5</v>
      </c>
      <c r="AY384" s="2" t="s">
        <v>6977</v>
      </c>
      <c r="AZ384" s="2" t="s">
        <v>92</v>
      </c>
      <c r="BA384" s="2" t="s">
        <v>6978</v>
      </c>
      <c r="BB384" s="2" t="s">
        <v>6979</v>
      </c>
      <c r="BC384" s="2" t="s">
        <v>86</v>
      </c>
      <c r="BD384" s="2" t="s">
        <v>86</v>
      </c>
      <c r="BE384" s="2" t="s">
        <v>86</v>
      </c>
      <c r="BF384" s="2" t="s">
        <v>86</v>
      </c>
      <c r="BG384" s="2" t="s">
        <v>95</v>
      </c>
      <c r="BH384" s="2" t="s">
        <v>6980</v>
      </c>
      <c r="BI384" s="2" t="str">
        <f>HYPERLINK("https%3A%2F%2Fwww.webofscience.com%2Fwos%2Fwoscc%2Ffull-record%2FWOS:000252295100015","View Full Record in Web of Science")</f>
        <v>View Full Record in Web of Science</v>
      </c>
    </row>
    <row r="385" spans="1:61" customFormat="1" ht="12.75" x14ac:dyDescent="0.2">
      <c r="A385" s="1">
        <v>382</v>
      </c>
      <c r="B385" s="1" t="s">
        <v>1068</v>
      </c>
      <c r="C385" s="1" t="s">
        <v>6981</v>
      </c>
      <c r="D385" s="2" t="s">
        <v>6982</v>
      </c>
      <c r="E385" s="2" t="s">
        <v>6983</v>
      </c>
      <c r="F385" s="3" t="str">
        <f>HYPERLINK("http://dx.doi.org/10.1016/j.chemosphere.2021.131898","http://dx.doi.org/10.1016/j.chemosphere.2021.131898")</f>
        <v>http://dx.doi.org/10.1016/j.chemosphere.2021.131898</v>
      </c>
      <c r="G385" s="2" t="s">
        <v>200</v>
      </c>
      <c r="H385" s="2" t="s">
        <v>6984</v>
      </c>
      <c r="I385" s="2" t="s">
        <v>6985</v>
      </c>
      <c r="J385" s="2" t="s">
        <v>227</v>
      </c>
      <c r="K385" s="2" t="s">
        <v>68</v>
      </c>
      <c r="L385" s="2" t="s">
        <v>6986</v>
      </c>
      <c r="M385" s="2" t="s">
        <v>6987</v>
      </c>
      <c r="N385" s="2" t="s">
        <v>6988</v>
      </c>
      <c r="O385" s="2" t="s">
        <v>1993</v>
      </c>
      <c r="P385" s="2" t="s">
        <v>6989</v>
      </c>
      <c r="Q385" s="2" t="s">
        <v>6990</v>
      </c>
      <c r="R385" s="2" t="s">
        <v>6991</v>
      </c>
      <c r="S385" s="2" t="s">
        <v>6992</v>
      </c>
      <c r="T385" s="2" t="s">
        <v>86</v>
      </c>
      <c r="U385" s="2" t="s">
        <v>86</v>
      </c>
      <c r="V385" s="2" t="s">
        <v>86</v>
      </c>
      <c r="W385" s="2" t="s">
        <v>80</v>
      </c>
      <c r="X385" s="4">
        <v>273</v>
      </c>
      <c r="Y385" s="4">
        <v>19</v>
      </c>
      <c r="Z385" s="4">
        <v>19</v>
      </c>
      <c r="AA385" s="4">
        <v>7</v>
      </c>
      <c r="AB385" s="4">
        <v>68</v>
      </c>
      <c r="AC385" s="2" t="s">
        <v>237</v>
      </c>
      <c r="AD385" s="2" t="s">
        <v>115</v>
      </c>
      <c r="AE385" s="2" t="s">
        <v>238</v>
      </c>
      <c r="AF385" s="2" t="s">
        <v>239</v>
      </c>
      <c r="AG385" s="2" t="s">
        <v>240</v>
      </c>
      <c r="AH385" s="2" t="s">
        <v>86</v>
      </c>
      <c r="AI385" s="2" t="s">
        <v>227</v>
      </c>
      <c r="AJ385" s="2" t="s">
        <v>241</v>
      </c>
      <c r="AK385" s="2" t="s">
        <v>534</v>
      </c>
      <c r="AL385" s="4">
        <v>2022</v>
      </c>
      <c r="AM385" s="4">
        <v>286</v>
      </c>
      <c r="AN385" s="2" t="s">
        <v>86</v>
      </c>
      <c r="AO385" s="4">
        <v>3</v>
      </c>
      <c r="AP385" s="2" t="s">
        <v>86</v>
      </c>
      <c r="AQ385" s="2" t="s">
        <v>86</v>
      </c>
      <c r="AR385" s="2" t="s">
        <v>86</v>
      </c>
      <c r="AS385" s="2" t="s">
        <v>86</v>
      </c>
      <c r="AT385" s="2" t="s">
        <v>86</v>
      </c>
      <c r="AU385" s="4">
        <v>131898</v>
      </c>
      <c r="AV385" s="2" t="s">
        <v>86</v>
      </c>
      <c r="AW385" s="2" t="s">
        <v>2719</v>
      </c>
      <c r="AX385" s="4">
        <v>14</v>
      </c>
      <c r="AY385" s="2" t="s">
        <v>91</v>
      </c>
      <c r="AZ385" s="2" t="s">
        <v>536</v>
      </c>
      <c r="BA385" s="2" t="s">
        <v>93</v>
      </c>
      <c r="BB385" s="2" t="s">
        <v>6993</v>
      </c>
      <c r="BC385" s="4">
        <v>34411929</v>
      </c>
      <c r="BD385" s="2" t="s">
        <v>1491</v>
      </c>
      <c r="BE385" s="2" t="s">
        <v>86</v>
      </c>
      <c r="BF385" s="2" t="s">
        <v>86</v>
      </c>
      <c r="BG385" s="2" t="s">
        <v>95</v>
      </c>
      <c r="BH385" s="2" t="s">
        <v>6994</v>
      </c>
      <c r="BI385" s="2" t="str">
        <f>HYPERLINK("https%3A%2F%2Fwww.webofscience.com%2Fwos%2Fwoscc%2Ffull-record%2FWOS:000704765200005","View Full Record in Web of Science")</f>
        <v>View Full Record in Web of Science</v>
      </c>
    </row>
    <row r="386" spans="1:61" customFormat="1" ht="12.75" x14ac:dyDescent="0.2">
      <c r="A386" s="1">
        <v>383</v>
      </c>
      <c r="B386" s="1" t="s">
        <v>1068</v>
      </c>
      <c r="C386" s="1" t="s">
        <v>6995</v>
      </c>
      <c r="D386" s="2" t="s">
        <v>6996</v>
      </c>
      <c r="E386" s="2" t="s">
        <v>6997</v>
      </c>
      <c r="F386" s="3" t="str">
        <f>HYPERLINK("http://dx.doi.org/10.1007/s10341-021-00565-7","http://dx.doi.org/10.1007/s10341-021-00565-7")</f>
        <v>http://dx.doi.org/10.1007/s10341-021-00565-7</v>
      </c>
      <c r="G386" s="2" t="s">
        <v>200</v>
      </c>
      <c r="H386" s="2" t="s">
        <v>6998</v>
      </c>
      <c r="I386" s="2" t="s">
        <v>6999</v>
      </c>
      <c r="J386" s="2" t="s">
        <v>7000</v>
      </c>
      <c r="K386" s="2" t="s">
        <v>68</v>
      </c>
      <c r="L386" s="2" t="s">
        <v>7001</v>
      </c>
      <c r="M386" s="2" t="s">
        <v>7002</v>
      </c>
      <c r="N386" s="2" t="s">
        <v>7003</v>
      </c>
      <c r="O386" s="2" t="s">
        <v>7004</v>
      </c>
      <c r="P386" s="2" t="s">
        <v>7005</v>
      </c>
      <c r="Q386" s="2" t="s">
        <v>7006</v>
      </c>
      <c r="R386" s="2" t="s">
        <v>7007</v>
      </c>
      <c r="S386" s="2" t="s">
        <v>7008</v>
      </c>
      <c r="T386" s="2" t="s">
        <v>86</v>
      </c>
      <c r="U386" s="2" t="s">
        <v>86</v>
      </c>
      <c r="V386" s="2" t="s">
        <v>86</v>
      </c>
      <c r="W386" s="2" t="s">
        <v>80</v>
      </c>
      <c r="X386" s="4">
        <v>33</v>
      </c>
      <c r="Y386" s="4">
        <v>0</v>
      </c>
      <c r="Z386" s="4">
        <v>0</v>
      </c>
      <c r="AA386" s="4">
        <v>1</v>
      </c>
      <c r="AB386" s="4">
        <v>13</v>
      </c>
      <c r="AC386" s="2" t="s">
        <v>139</v>
      </c>
      <c r="AD386" s="2" t="s">
        <v>1355</v>
      </c>
      <c r="AE386" s="2" t="s">
        <v>1356</v>
      </c>
      <c r="AF386" s="2" t="s">
        <v>7009</v>
      </c>
      <c r="AG386" s="2" t="s">
        <v>7010</v>
      </c>
      <c r="AH386" s="2" t="s">
        <v>86</v>
      </c>
      <c r="AI386" s="2" t="s">
        <v>7000</v>
      </c>
      <c r="AJ386" s="2" t="s">
        <v>7011</v>
      </c>
      <c r="AK386" s="2" t="s">
        <v>440</v>
      </c>
      <c r="AL386" s="4">
        <v>2021</v>
      </c>
      <c r="AM386" s="4">
        <v>63</v>
      </c>
      <c r="AN386" s="4">
        <v>3</v>
      </c>
      <c r="AO386" s="2" t="s">
        <v>86</v>
      </c>
      <c r="AP386" s="2" t="s">
        <v>86</v>
      </c>
      <c r="AQ386" s="2" t="s">
        <v>86</v>
      </c>
      <c r="AR386" s="2" t="s">
        <v>86</v>
      </c>
      <c r="AS386" s="4">
        <v>263</v>
      </c>
      <c r="AT386" s="4">
        <v>271</v>
      </c>
      <c r="AU386" s="2" t="s">
        <v>86</v>
      </c>
      <c r="AV386" s="2" t="s">
        <v>86</v>
      </c>
      <c r="AW386" s="2" t="s">
        <v>2290</v>
      </c>
      <c r="AX386" s="4">
        <v>9</v>
      </c>
      <c r="AY386" s="2" t="s">
        <v>7012</v>
      </c>
      <c r="AZ386" s="2" t="s">
        <v>92</v>
      </c>
      <c r="BA386" s="2" t="s">
        <v>4719</v>
      </c>
      <c r="BB386" s="2" t="s">
        <v>7013</v>
      </c>
      <c r="BC386" s="2" t="s">
        <v>86</v>
      </c>
      <c r="BD386" s="2" t="s">
        <v>86</v>
      </c>
      <c r="BE386" s="2" t="s">
        <v>86</v>
      </c>
      <c r="BF386" s="2" t="s">
        <v>86</v>
      </c>
      <c r="BG386" s="2" t="s">
        <v>95</v>
      </c>
      <c r="BH386" s="2" t="s">
        <v>7014</v>
      </c>
      <c r="BI386" s="2" t="str">
        <f>HYPERLINK("https%3A%2F%2Fwww.webofscience.com%2Fwos%2Fwoscc%2Ffull-record%2FWOS:000654219800001","View Full Record in Web of Science")</f>
        <v>View Full Record in Web of Science</v>
      </c>
    </row>
    <row r="387" spans="1:61" customFormat="1" ht="12.75" x14ac:dyDescent="0.2">
      <c r="A387" s="1">
        <v>384</v>
      </c>
      <c r="B387" s="1" t="s">
        <v>1068</v>
      </c>
      <c r="C387" s="1" t="s">
        <v>7015</v>
      </c>
      <c r="D387" s="2" t="s">
        <v>7016</v>
      </c>
      <c r="E387" s="2" t="s">
        <v>7017</v>
      </c>
      <c r="F387" s="3" t="str">
        <f>HYPERLINK("http://dx.doi.org/10.1007/s10163-021-01329-x","http://dx.doi.org/10.1007/s10163-021-01329-x")</f>
        <v>http://dx.doi.org/10.1007/s10163-021-01329-x</v>
      </c>
      <c r="G387" s="2" t="s">
        <v>200</v>
      </c>
      <c r="H387" s="2" t="s">
        <v>7018</v>
      </c>
      <c r="I387" s="2" t="s">
        <v>7019</v>
      </c>
      <c r="J387" s="2" t="s">
        <v>5841</v>
      </c>
      <c r="K387" s="2" t="s">
        <v>68</v>
      </c>
      <c r="L387" s="2" t="s">
        <v>7020</v>
      </c>
      <c r="M387" s="2" t="s">
        <v>7021</v>
      </c>
      <c r="N387" s="2" t="s">
        <v>7022</v>
      </c>
      <c r="O387" s="2" t="s">
        <v>7023</v>
      </c>
      <c r="P387" s="2" t="s">
        <v>7024</v>
      </c>
      <c r="Q387" s="2" t="s">
        <v>7025</v>
      </c>
      <c r="R387" s="2" t="s">
        <v>7026</v>
      </c>
      <c r="S387" s="2" t="s">
        <v>7027</v>
      </c>
      <c r="T387" s="2" t="s">
        <v>7028</v>
      </c>
      <c r="U387" s="2" t="s">
        <v>7029</v>
      </c>
      <c r="V387" s="2" t="s">
        <v>7030</v>
      </c>
      <c r="W387" s="2" t="s">
        <v>80</v>
      </c>
      <c r="X387" s="4">
        <v>96</v>
      </c>
      <c r="Y387" s="4">
        <v>1</v>
      </c>
      <c r="Z387" s="4">
        <v>1</v>
      </c>
      <c r="AA387" s="4">
        <v>3</v>
      </c>
      <c r="AB387" s="4">
        <v>8</v>
      </c>
      <c r="AC387" s="2" t="s">
        <v>139</v>
      </c>
      <c r="AD387" s="2" t="s">
        <v>1355</v>
      </c>
      <c r="AE387" s="2" t="s">
        <v>1356</v>
      </c>
      <c r="AF387" s="2" t="s">
        <v>5850</v>
      </c>
      <c r="AG387" s="2" t="s">
        <v>5851</v>
      </c>
      <c r="AH387" s="2" t="s">
        <v>86</v>
      </c>
      <c r="AI387" s="2" t="s">
        <v>5852</v>
      </c>
      <c r="AJ387" s="2" t="s">
        <v>5853</v>
      </c>
      <c r="AK387" s="2" t="s">
        <v>534</v>
      </c>
      <c r="AL387" s="4">
        <v>2022</v>
      </c>
      <c r="AM387" s="4">
        <v>24</v>
      </c>
      <c r="AN387" s="4">
        <v>1</v>
      </c>
      <c r="AO387" s="2" t="s">
        <v>86</v>
      </c>
      <c r="AP387" s="2" t="s">
        <v>86</v>
      </c>
      <c r="AQ387" s="2" t="s">
        <v>963</v>
      </c>
      <c r="AR387" s="2" t="s">
        <v>86</v>
      </c>
      <c r="AS387" s="4">
        <v>386</v>
      </c>
      <c r="AT387" s="4">
        <v>401</v>
      </c>
      <c r="AU387" s="2" t="s">
        <v>86</v>
      </c>
      <c r="AV387" s="2" t="s">
        <v>86</v>
      </c>
      <c r="AW387" s="2" t="s">
        <v>1781</v>
      </c>
      <c r="AX387" s="4">
        <v>16</v>
      </c>
      <c r="AY387" s="2" t="s">
        <v>91</v>
      </c>
      <c r="AZ387" s="2" t="s">
        <v>92</v>
      </c>
      <c r="BA387" s="2" t="s">
        <v>93</v>
      </c>
      <c r="BB387" s="2" t="s">
        <v>7031</v>
      </c>
      <c r="BC387" s="2" t="s">
        <v>86</v>
      </c>
      <c r="BD387" s="2" t="s">
        <v>86</v>
      </c>
      <c r="BE387" s="2" t="s">
        <v>86</v>
      </c>
      <c r="BF387" s="2" t="s">
        <v>86</v>
      </c>
      <c r="BG387" s="2" t="s">
        <v>95</v>
      </c>
      <c r="BH387" s="2" t="s">
        <v>7032</v>
      </c>
      <c r="BI387" s="2" t="str">
        <f>HYPERLINK("https%3A%2F%2Fwww.webofscience.com%2Fwos%2Fwoscc%2Ffull-record%2FWOS:000721488100001","View Full Record in Web of Science")</f>
        <v>View Full Record in Web of Science</v>
      </c>
    </row>
    <row r="388" spans="1:61" customFormat="1" ht="12.75" x14ac:dyDescent="0.2">
      <c r="A388" s="1">
        <v>385</v>
      </c>
      <c r="B388" s="1" t="s">
        <v>1068</v>
      </c>
      <c r="C388" s="1" t="s">
        <v>7033</v>
      </c>
      <c r="D388" s="2" t="s">
        <v>7034</v>
      </c>
      <c r="E388" s="2" t="s">
        <v>7035</v>
      </c>
      <c r="F388" s="3" t="str">
        <f>HYPERLINK("http://dx.doi.org/10.1002/pc.22377","http://dx.doi.org/10.1002/pc.22377")</f>
        <v>http://dx.doi.org/10.1002/pc.22377</v>
      </c>
      <c r="G388" s="2" t="s">
        <v>200</v>
      </c>
      <c r="H388" s="2" t="s">
        <v>7036</v>
      </c>
      <c r="I388" s="2" t="s">
        <v>7037</v>
      </c>
      <c r="J388" s="2" t="s">
        <v>4949</v>
      </c>
      <c r="K388" s="2" t="s">
        <v>68</v>
      </c>
      <c r="L388" s="2" t="s">
        <v>86</v>
      </c>
      <c r="M388" s="2" t="s">
        <v>7038</v>
      </c>
      <c r="N388" s="2" t="s">
        <v>7039</v>
      </c>
      <c r="O388" s="2" t="s">
        <v>134</v>
      </c>
      <c r="P388" s="2" t="s">
        <v>5799</v>
      </c>
      <c r="Q388" s="2" t="s">
        <v>5800</v>
      </c>
      <c r="R388" s="2" t="s">
        <v>7040</v>
      </c>
      <c r="S388" s="2" t="s">
        <v>7041</v>
      </c>
      <c r="T388" s="2" t="s">
        <v>86</v>
      </c>
      <c r="U388" s="2" t="s">
        <v>86</v>
      </c>
      <c r="V388" s="2" t="s">
        <v>86</v>
      </c>
      <c r="W388" s="2" t="s">
        <v>80</v>
      </c>
      <c r="X388" s="4">
        <v>39</v>
      </c>
      <c r="Y388" s="4">
        <v>1</v>
      </c>
      <c r="Z388" s="4">
        <v>1</v>
      </c>
      <c r="AA388" s="4">
        <v>0</v>
      </c>
      <c r="AB388" s="4">
        <v>23</v>
      </c>
      <c r="AC388" s="2" t="s">
        <v>956</v>
      </c>
      <c r="AD388" s="2" t="s">
        <v>957</v>
      </c>
      <c r="AE388" s="2" t="s">
        <v>958</v>
      </c>
      <c r="AF388" s="2" t="s">
        <v>4960</v>
      </c>
      <c r="AG388" s="2" t="s">
        <v>4961</v>
      </c>
      <c r="AH388" s="2" t="s">
        <v>86</v>
      </c>
      <c r="AI388" s="2" t="s">
        <v>4962</v>
      </c>
      <c r="AJ388" s="2" t="s">
        <v>4963</v>
      </c>
      <c r="AK388" s="2" t="s">
        <v>534</v>
      </c>
      <c r="AL388" s="4">
        <v>2013</v>
      </c>
      <c r="AM388" s="4">
        <v>34</v>
      </c>
      <c r="AN388" s="4">
        <v>1</v>
      </c>
      <c r="AO388" s="2" t="s">
        <v>86</v>
      </c>
      <c r="AP388" s="2" t="s">
        <v>86</v>
      </c>
      <c r="AQ388" s="2" t="s">
        <v>86</v>
      </c>
      <c r="AR388" s="2" t="s">
        <v>86</v>
      </c>
      <c r="AS388" s="4">
        <v>58</v>
      </c>
      <c r="AT388" s="4">
        <v>66</v>
      </c>
      <c r="AU388" s="2" t="s">
        <v>86</v>
      </c>
      <c r="AV388" s="2" t="s">
        <v>86</v>
      </c>
      <c r="AW388" s="2" t="s">
        <v>86</v>
      </c>
      <c r="AX388" s="4">
        <v>9</v>
      </c>
      <c r="AY388" s="2" t="s">
        <v>4964</v>
      </c>
      <c r="AZ388" s="2" t="s">
        <v>92</v>
      </c>
      <c r="BA388" s="2" t="s">
        <v>4304</v>
      </c>
      <c r="BB388" s="2" t="s">
        <v>7042</v>
      </c>
      <c r="BC388" s="2" t="s">
        <v>86</v>
      </c>
      <c r="BD388" s="2" t="s">
        <v>86</v>
      </c>
      <c r="BE388" s="2" t="s">
        <v>86</v>
      </c>
      <c r="BF388" s="2" t="s">
        <v>86</v>
      </c>
      <c r="BG388" s="2" t="s">
        <v>95</v>
      </c>
      <c r="BH388" s="2" t="s">
        <v>7043</v>
      </c>
      <c r="BI388" s="2" t="str">
        <f>HYPERLINK("https%3A%2F%2Fwww.webofscience.com%2Fwos%2Fwoscc%2Ffull-record%2FWOS:000312551000007","View Full Record in Web of Science")</f>
        <v>View Full Record in Web of Science</v>
      </c>
    </row>
    <row r="389" spans="1:61" customFormat="1" ht="12.75" x14ac:dyDescent="0.2">
      <c r="A389" s="1">
        <v>386</v>
      </c>
      <c r="B389" s="1" t="s">
        <v>1068</v>
      </c>
      <c r="C389" s="1" t="s">
        <v>7044</v>
      </c>
      <c r="D389" s="2" t="s">
        <v>7045</v>
      </c>
      <c r="E389" s="2" t="s">
        <v>7046</v>
      </c>
      <c r="F389" s="3" t="str">
        <f>HYPERLINK("http://dx.doi.org/10.1142/S0219519418500318","http://dx.doi.org/10.1142/S0219519418500318")</f>
        <v>http://dx.doi.org/10.1142/S0219519418500318</v>
      </c>
      <c r="G389" s="2" t="s">
        <v>200</v>
      </c>
      <c r="H389" s="2" t="s">
        <v>7047</v>
      </c>
      <c r="I389" s="2" t="s">
        <v>7048</v>
      </c>
      <c r="J389" s="2" t="s">
        <v>7049</v>
      </c>
      <c r="K389" s="2" t="s">
        <v>68</v>
      </c>
      <c r="L389" s="2" t="s">
        <v>7050</v>
      </c>
      <c r="M389" s="2" t="s">
        <v>7051</v>
      </c>
      <c r="N389" s="2" t="s">
        <v>7052</v>
      </c>
      <c r="O389" s="2" t="s">
        <v>1173</v>
      </c>
      <c r="P389" s="2" t="s">
        <v>7053</v>
      </c>
      <c r="Q389" s="2" t="s">
        <v>7054</v>
      </c>
      <c r="R389" s="2" t="s">
        <v>7055</v>
      </c>
      <c r="S389" s="2" t="s">
        <v>7056</v>
      </c>
      <c r="T389" s="2" t="s">
        <v>7057</v>
      </c>
      <c r="U389" s="2" t="s">
        <v>7058</v>
      </c>
      <c r="V389" s="2" t="s">
        <v>7059</v>
      </c>
      <c r="W389" s="2" t="s">
        <v>80</v>
      </c>
      <c r="X389" s="4">
        <v>21</v>
      </c>
      <c r="Y389" s="4">
        <v>1</v>
      </c>
      <c r="Z389" s="4">
        <v>1</v>
      </c>
      <c r="AA389" s="4">
        <v>0</v>
      </c>
      <c r="AB389" s="4">
        <v>13</v>
      </c>
      <c r="AC389" s="2" t="s">
        <v>7060</v>
      </c>
      <c r="AD389" s="2" t="s">
        <v>7061</v>
      </c>
      <c r="AE389" s="2" t="s">
        <v>7062</v>
      </c>
      <c r="AF389" s="2" t="s">
        <v>7063</v>
      </c>
      <c r="AG389" s="2" t="s">
        <v>7064</v>
      </c>
      <c r="AH389" s="2" t="s">
        <v>86</v>
      </c>
      <c r="AI389" s="2" t="s">
        <v>7065</v>
      </c>
      <c r="AJ389" s="2" t="s">
        <v>7066</v>
      </c>
      <c r="AK389" s="2" t="s">
        <v>1220</v>
      </c>
      <c r="AL389" s="4">
        <v>2018</v>
      </c>
      <c r="AM389" s="4">
        <v>18</v>
      </c>
      <c r="AN389" s="4">
        <v>3</v>
      </c>
      <c r="AO389" s="2" t="s">
        <v>86</v>
      </c>
      <c r="AP389" s="2" t="s">
        <v>86</v>
      </c>
      <c r="AQ389" s="2" t="s">
        <v>86</v>
      </c>
      <c r="AR389" s="2" t="s">
        <v>86</v>
      </c>
      <c r="AS389" s="2" t="s">
        <v>86</v>
      </c>
      <c r="AT389" s="2" t="s">
        <v>86</v>
      </c>
      <c r="AU389" s="4">
        <v>1850031</v>
      </c>
      <c r="AV389" s="2" t="s">
        <v>86</v>
      </c>
      <c r="AW389" s="2" t="s">
        <v>86</v>
      </c>
      <c r="AX389" s="4">
        <v>13</v>
      </c>
      <c r="AY389" s="2" t="s">
        <v>7067</v>
      </c>
      <c r="AZ389" s="2" t="s">
        <v>92</v>
      </c>
      <c r="BA389" s="2" t="s">
        <v>7068</v>
      </c>
      <c r="BB389" s="2" t="s">
        <v>7069</v>
      </c>
      <c r="BC389" s="2" t="s">
        <v>86</v>
      </c>
      <c r="BD389" s="2" t="s">
        <v>86</v>
      </c>
      <c r="BE389" s="2" t="s">
        <v>86</v>
      </c>
      <c r="BF389" s="2" t="s">
        <v>86</v>
      </c>
      <c r="BG389" s="2" t="s">
        <v>95</v>
      </c>
      <c r="BH389" s="2" t="s">
        <v>7070</v>
      </c>
      <c r="BI389" s="2" t="str">
        <f>HYPERLINK("https%3A%2F%2Fwww.webofscience.com%2Fwos%2Fwoscc%2Ffull-record%2FWOS:000433093400010","View Full Record in Web of Science")</f>
        <v>View Full Record in Web of Science</v>
      </c>
    </row>
    <row r="390" spans="1:61" customFormat="1" ht="12.75" x14ac:dyDescent="0.2">
      <c r="A390" s="1">
        <v>387</v>
      </c>
      <c r="B390" s="1" t="s">
        <v>1068</v>
      </c>
      <c r="C390" s="1" t="s">
        <v>7071</v>
      </c>
      <c r="D390" s="2" t="s">
        <v>7072</v>
      </c>
      <c r="E390" s="2" t="s">
        <v>7073</v>
      </c>
      <c r="F390" s="3" t="str">
        <f>HYPERLINK("http://dx.doi.org/10.1002/pen.25289","http://dx.doi.org/10.1002/pen.25289")</f>
        <v>http://dx.doi.org/10.1002/pen.25289</v>
      </c>
      <c r="G390" s="2" t="s">
        <v>200</v>
      </c>
      <c r="H390" s="2" t="s">
        <v>7074</v>
      </c>
      <c r="I390" s="2" t="s">
        <v>7075</v>
      </c>
      <c r="J390" s="2" t="s">
        <v>5054</v>
      </c>
      <c r="K390" s="2" t="s">
        <v>68</v>
      </c>
      <c r="L390" s="2" t="s">
        <v>86</v>
      </c>
      <c r="M390" s="2" t="s">
        <v>7076</v>
      </c>
      <c r="N390" s="2" t="s">
        <v>7077</v>
      </c>
      <c r="O390" s="2" t="s">
        <v>7078</v>
      </c>
      <c r="P390" s="2" t="s">
        <v>7079</v>
      </c>
      <c r="Q390" s="2" t="s">
        <v>6614</v>
      </c>
      <c r="R390" s="2" t="s">
        <v>7080</v>
      </c>
      <c r="S390" s="2" t="s">
        <v>7081</v>
      </c>
      <c r="T390" s="2" t="s">
        <v>86</v>
      </c>
      <c r="U390" s="2" t="s">
        <v>86</v>
      </c>
      <c r="V390" s="2" t="s">
        <v>86</v>
      </c>
      <c r="W390" s="2" t="s">
        <v>80</v>
      </c>
      <c r="X390" s="4">
        <v>50</v>
      </c>
      <c r="Y390" s="4">
        <v>13</v>
      </c>
      <c r="Z390" s="4">
        <v>13</v>
      </c>
      <c r="AA390" s="4">
        <v>3</v>
      </c>
      <c r="AB390" s="4">
        <v>25</v>
      </c>
      <c r="AC390" s="2" t="s">
        <v>956</v>
      </c>
      <c r="AD390" s="2" t="s">
        <v>957</v>
      </c>
      <c r="AE390" s="2" t="s">
        <v>958</v>
      </c>
      <c r="AF390" s="2" t="s">
        <v>5061</v>
      </c>
      <c r="AG390" s="2" t="s">
        <v>5062</v>
      </c>
      <c r="AH390" s="2" t="s">
        <v>86</v>
      </c>
      <c r="AI390" s="2" t="s">
        <v>5063</v>
      </c>
      <c r="AJ390" s="2" t="s">
        <v>5064</v>
      </c>
      <c r="AK390" s="2" t="s">
        <v>146</v>
      </c>
      <c r="AL390" s="4">
        <v>2020</v>
      </c>
      <c r="AM390" s="4">
        <v>60</v>
      </c>
      <c r="AN390" s="4">
        <v>2</v>
      </c>
      <c r="AO390" s="2" t="s">
        <v>86</v>
      </c>
      <c r="AP390" s="2" t="s">
        <v>86</v>
      </c>
      <c r="AQ390" s="2" t="s">
        <v>86</v>
      </c>
      <c r="AR390" s="2" t="s">
        <v>86</v>
      </c>
      <c r="AS390" s="4">
        <v>341</v>
      </c>
      <c r="AT390" s="4">
        <v>351</v>
      </c>
      <c r="AU390" s="2" t="s">
        <v>86</v>
      </c>
      <c r="AV390" s="2" t="s">
        <v>86</v>
      </c>
      <c r="AW390" s="2" t="s">
        <v>7082</v>
      </c>
      <c r="AX390" s="4">
        <v>11</v>
      </c>
      <c r="AY390" s="2" t="s">
        <v>5065</v>
      </c>
      <c r="AZ390" s="2" t="s">
        <v>92</v>
      </c>
      <c r="BA390" s="2" t="s">
        <v>5066</v>
      </c>
      <c r="BB390" s="2" t="s">
        <v>7083</v>
      </c>
      <c r="BC390" s="2" t="s">
        <v>86</v>
      </c>
      <c r="BD390" s="2" t="s">
        <v>86</v>
      </c>
      <c r="BE390" s="2" t="s">
        <v>86</v>
      </c>
      <c r="BF390" s="2" t="s">
        <v>86</v>
      </c>
      <c r="BG390" s="2" t="s">
        <v>95</v>
      </c>
      <c r="BH390" s="2" t="s">
        <v>7084</v>
      </c>
      <c r="BI390" s="2" t="str">
        <f>HYPERLINK("https%3A%2F%2Fwww.webofscience.com%2Fwos%2Fwoscc%2Ffull-record%2FWOS:000498482900001","View Full Record in Web of Science")</f>
        <v>View Full Record in Web of Science</v>
      </c>
    </row>
    <row r="391" spans="1:61" customFormat="1" ht="12.75" x14ac:dyDescent="0.2">
      <c r="A391" s="1">
        <v>388</v>
      </c>
      <c r="B391" s="1" t="s">
        <v>1068</v>
      </c>
      <c r="C391" s="1" t="s">
        <v>7085</v>
      </c>
      <c r="D391" s="2" t="s">
        <v>7086</v>
      </c>
      <c r="E391" s="2" t="s">
        <v>7087</v>
      </c>
      <c r="F391" s="3" t="str">
        <f>HYPERLINK("http://dx.doi.org/10.1023/B:JMSC.0000007726.58758.e4","http://dx.doi.org/10.1023/B:JMSC.0000007726.58758.e4")</f>
        <v>http://dx.doi.org/10.1023/B:JMSC.0000007726.58758.e4</v>
      </c>
      <c r="G391" s="2" t="s">
        <v>61</v>
      </c>
      <c r="H391" s="2" t="s">
        <v>7088</v>
      </c>
      <c r="I391" s="2" t="s">
        <v>7088</v>
      </c>
      <c r="J391" s="2" t="s">
        <v>5825</v>
      </c>
      <c r="K391" s="2" t="s">
        <v>68</v>
      </c>
      <c r="L391" s="2" t="s">
        <v>86</v>
      </c>
      <c r="M391" s="2" t="s">
        <v>7089</v>
      </c>
      <c r="N391" s="2" t="s">
        <v>7090</v>
      </c>
      <c r="O391" s="2" t="s">
        <v>6732</v>
      </c>
      <c r="P391" s="2" t="s">
        <v>7091</v>
      </c>
      <c r="Q391" s="2" t="s">
        <v>7092</v>
      </c>
      <c r="R391" s="2" t="s">
        <v>7093</v>
      </c>
      <c r="S391" s="2" t="s">
        <v>86</v>
      </c>
      <c r="T391" s="2" t="s">
        <v>86</v>
      </c>
      <c r="U391" s="2" t="s">
        <v>86</v>
      </c>
      <c r="V391" s="2" t="s">
        <v>86</v>
      </c>
      <c r="W391" s="2" t="s">
        <v>80</v>
      </c>
      <c r="X391" s="4">
        <v>238</v>
      </c>
      <c r="Y391" s="4">
        <v>383</v>
      </c>
      <c r="Z391" s="4">
        <v>402</v>
      </c>
      <c r="AA391" s="4">
        <v>25</v>
      </c>
      <c r="AB391" s="4">
        <v>457</v>
      </c>
      <c r="AC391" s="2" t="s">
        <v>139</v>
      </c>
      <c r="AD391" s="2" t="s">
        <v>1355</v>
      </c>
      <c r="AE391" s="2" t="s">
        <v>1356</v>
      </c>
      <c r="AF391" s="2" t="s">
        <v>5829</v>
      </c>
      <c r="AG391" s="2" t="s">
        <v>5830</v>
      </c>
      <c r="AH391" s="2" t="s">
        <v>86</v>
      </c>
      <c r="AI391" s="2" t="s">
        <v>5831</v>
      </c>
      <c r="AJ391" s="2" t="s">
        <v>5832</v>
      </c>
      <c r="AK391" s="2" t="s">
        <v>1910</v>
      </c>
      <c r="AL391" s="4">
        <v>2004</v>
      </c>
      <c r="AM391" s="4">
        <v>39</v>
      </c>
      <c r="AN391" s="4">
        <v>1</v>
      </c>
      <c r="AO391" s="2" t="s">
        <v>86</v>
      </c>
      <c r="AP391" s="2" t="s">
        <v>86</v>
      </c>
      <c r="AQ391" s="2" t="s">
        <v>86</v>
      </c>
      <c r="AR391" s="2" t="s">
        <v>86</v>
      </c>
      <c r="AS391" s="4">
        <v>1</v>
      </c>
      <c r="AT391" s="4">
        <v>49</v>
      </c>
      <c r="AU391" s="2" t="s">
        <v>86</v>
      </c>
      <c r="AV391" s="2" t="s">
        <v>86</v>
      </c>
      <c r="AW391" s="2" t="s">
        <v>86</v>
      </c>
      <c r="AX391" s="4">
        <v>49</v>
      </c>
      <c r="AY391" s="2" t="s">
        <v>5833</v>
      </c>
      <c r="AZ391" s="2" t="s">
        <v>92</v>
      </c>
      <c r="BA391" s="2" t="s">
        <v>3123</v>
      </c>
      <c r="BB391" s="2" t="s">
        <v>7094</v>
      </c>
      <c r="BC391" s="2" t="s">
        <v>86</v>
      </c>
      <c r="BD391" s="2" t="s">
        <v>86</v>
      </c>
      <c r="BE391" s="2" t="s">
        <v>86</v>
      </c>
      <c r="BF391" s="2" t="s">
        <v>86</v>
      </c>
      <c r="BG391" s="2" t="s">
        <v>95</v>
      </c>
      <c r="BH391" s="2" t="s">
        <v>7095</v>
      </c>
      <c r="BI391" s="2" t="str">
        <f>HYPERLINK("https%3A%2F%2Fwww.webofscience.com%2Fwos%2Fwoscc%2Ffull-record%2FWOS:000187179000001","View Full Record in Web of Science")</f>
        <v>View Full Record in Web of Science</v>
      </c>
    </row>
    <row r="392" spans="1:61" customFormat="1" ht="12.75" x14ac:dyDescent="0.2">
      <c r="A392" s="1">
        <v>389</v>
      </c>
      <c r="B392" s="1" t="s">
        <v>1068</v>
      </c>
      <c r="C392" s="1" t="s">
        <v>7096</v>
      </c>
      <c r="D392" s="2" t="s">
        <v>7097</v>
      </c>
      <c r="E392" s="2" t="s">
        <v>7098</v>
      </c>
      <c r="F392" s="3" t="str">
        <f>HYPERLINK("http://dx.doi.org/10.1103/PhysRevB.81.205437","http://dx.doi.org/10.1103/PhysRevB.81.205437")</f>
        <v>http://dx.doi.org/10.1103/PhysRevB.81.205437</v>
      </c>
      <c r="G392" s="2" t="s">
        <v>200</v>
      </c>
      <c r="H392" s="2" t="s">
        <v>7099</v>
      </c>
      <c r="I392" s="2" t="s">
        <v>7100</v>
      </c>
      <c r="J392" s="2" t="s">
        <v>7101</v>
      </c>
      <c r="K392" s="2" t="s">
        <v>68</v>
      </c>
      <c r="L392" s="2" t="s">
        <v>86</v>
      </c>
      <c r="M392" s="2" t="s">
        <v>7102</v>
      </c>
      <c r="N392" s="2" t="s">
        <v>7103</v>
      </c>
      <c r="O392" s="2" t="s">
        <v>7104</v>
      </c>
      <c r="P392" s="2" t="s">
        <v>7105</v>
      </c>
      <c r="Q392" s="2" t="s">
        <v>7106</v>
      </c>
      <c r="R392" s="2" t="s">
        <v>7107</v>
      </c>
      <c r="S392" s="2" t="s">
        <v>7108</v>
      </c>
      <c r="T392" s="2" t="s">
        <v>7109</v>
      </c>
      <c r="U392" s="2" t="s">
        <v>7110</v>
      </c>
      <c r="V392" s="2" t="s">
        <v>7111</v>
      </c>
      <c r="W392" s="2" t="s">
        <v>80</v>
      </c>
      <c r="X392" s="4">
        <v>31</v>
      </c>
      <c r="Y392" s="4">
        <v>145</v>
      </c>
      <c r="Z392" s="4">
        <v>146</v>
      </c>
      <c r="AA392" s="4">
        <v>1</v>
      </c>
      <c r="AB392" s="4">
        <v>44</v>
      </c>
      <c r="AC392" s="2" t="s">
        <v>7112</v>
      </c>
      <c r="AD392" s="2" t="s">
        <v>7113</v>
      </c>
      <c r="AE392" s="2" t="s">
        <v>7114</v>
      </c>
      <c r="AF392" s="2" t="s">
        <v>7115</v>
      </c>
      <c r="AG392" s="2" t="s">
        <v>7116</v>
      </c>
      <c r="AH392" s="2" t="s">
        <v>86</v>
      </c>
      <c r="AI392" s="2" t="s">
        <v>7117</v>
      </c>
      <c r="AJ392" s="2" t="s">
        <v>7118</v>
      </c>
      <c r="AK392" s="2" t="s">
        <v>1531</v>
      </c>
      <c r="AL392" s="4">
        <v>2010</v>
      </c>
      <c r="AM392" s="4">
        <v>81</v>
      </c>
      <c r="AN392" s="4">
        <v>20</v>
      </c>
      <c r="AO392" s="2" t="s">
        <v>86</v>
      </c>
      <c r="AP392" s="2" t="s">
        <v>86</v>
      </c>
      <c r="AQ392" s="2" t="s">
        <v>86</v>
      </c>
      <c r="AR392" s="2" t="s">
        <v>86</v>
      </c>
      <c r="AS392" s="2" t="s">
        <v>86</v>
      </c>
      <c r="AT392" s="2" t="s">
        <v>86</v>
      </c>
      <c r="AU392" s="4">
        <v>205437</v>
      </c>
      <c r="AV392" s="2" t="s">
        <v>86</v>
      </c>
      <c r="AW392" s="2" t="s">
        <v>86</v>
      </c>
      <c r="AX392" s="4">
        <v>5</v>
      </c>
      <c r="AY392" s="2" t="s">
        <v>7119</v>
      </c>
      <c r="AZ392" s="2" t="s">
        <v>92</v>
      </c>
      <c r="BA392" s="2" t="s">
        <v>4656</v>
      </c>
      <c r="BB392" s="2" t="s">
        <v>7120</v>
      </c>
      <c r="BC392" s="2" t="s">
        <v>86</v>
      </c>
      <c r="BD392" s="2" t="s">
        <v>5971</v>
      </c>
      <c r="BE392" s="2" t="s">
        <v>86</v>
      </c>
      <c r="BF392" s="2" t="s">
        <v>86</v>
      </c>
      <c r="BG392" s="2" t="s">
        <v>95</v>
      </c>
      <c r="BH392" s="2" t="s">
        <v>7121</v>
      </c>
      <c r="BI392" s="2" t="str">
        <f>HYPERLINK("https%3A%2F%2Fwww.webofscience.com%2Fwos%2Fwoscc%2Ffull-record%2FWOS:000278144500113","View Full Record in Web of Science")</f>
        <v>View Full Record in Web of Science</v>
      </c>
    </row>
    <row r="393" spans="1:61" customFormat="1" ht="12.75" x14ac:dyDescent="0.2">
      <c r="A393" s="1">
        <v>390</v>
      </c>
      <c r="B393" s="1" t="s">
        <v>1068</v>
      </c>
      <c r="C393" s="1" t="s">
        <v>7122</v>
      </c>
      <c r="D393" s="2" t="s">
        <v>7123</v>
      </c>
      <c r="E393" s="2" t="s">
        <v>7124</v>
      </c>
      <c r="F393" s="3" t="str">
        <f>HYPERLINK("http://dx.doi.org/10.1016/j.msea.2009.04.053","http://dx.doi.org/10.1016/j.msea.2009.04.053")</f>
        <v>http://dx.doi.org/10.1016/j.msea.2009.04.053</v>
      </c>
      <c r="G393" s="2" t="s">
        <v>200</v>
      </c>
      <c r="H393" s="2" t="s">
        <v>7125</v>
      </c>
      <c r="I393" s="2" t="s">
        <v>7126</v>
      </c>
      <c r="J393" s="2" t="s">
        <v>5754</v>
      </c>
      <c r="K393" s="2" t="s">
        <v>68</v>
      </c>
      <c r="L393" s="2" t="s">
        <v>7127</v>
      </c>
      <c r="M393" s="2" t="s">
        <v>7128</v>
      </c>
      <c r="N393" s="2" t="s">
        <v>7129</v>
      </c>
      <c r="O393" s="2" t="s">
        <v>7130</v>
      </c>
      <c r="P393" s="2" t="s">
        <v>7131</v>
      </c>
      <c r="Q393" s="2" t="s">
        <v>7132</v>
      </c>
      <c r="R393" s="2" t="s">
        <v>7133</v>
      </c>
      <c r="S393" s="2" t="s">
        <v>7134</v>
      </c>
      <c r="T393" s="2" t="s">
        <v>7135</v>
      </c>
      <c r="U393" s="2" t="s">
        <v>7136</v>
      </c>
      <c r="V393" s="2" t="s">
        <v>7137</v>
      </c>
      <c r="W393" s="2" t="s">
        <v>80</v>
      </c>
      <c r="X393" s="4">
        <v>42</v>
      </c>
      <c r="Y393" s="4">
        <v>47</v>
      </c>
      <c r="Z393" s="4">
        <v>48</v>
      </c>
      <c r="AA393" s="4">
        <v>1</v>
      </c>
      <c r="AB393" s="4">
        <v>45</v>
      </c>
      <c r="AC393" s="2" t="s">
        <v>5189</v>
      </c>
      <c r="AD393" s="2" t="s">
        <v>783</v>
      </c>
      <c r="AE393" s="2" t="s">
        <v>5190</v>
      </c>
      <c r="AF393" s="2" t="s">
        <v>5763</v>
      </c>
      <c r="AG393" s="2" t="s">
        <v>86</v>
      </c>
      <c r="AH393" s="2" t="s">
        <v>86</v>
      </c>
      <c r="AI393" s="2" t="s">
        <v>5764</v>
      </c>
      <c r="AJ393" s="2" t="s">
        <v>5765</v>
      </c>
      <c r="AK393" s="2" t="s">
        <v>7138</v>
      </c>
      <c r="AL393" s="4">
        <v>2009</v>
      </c>
      <c r="AM393" s="4">
        <v>517</v>
      </c>
      <c r="AN393" s="2" t="s">
        <v>1532</v>
      </c>
      <c r="AO393" s="2" t="s">
        <v>86</v>
      </c>
      <c r="AP393" s="2" t="s">
        <v>86</v>
      </c>
      <c r="AQ393" s="2" t="s">
        <v>86</v>
      </c>
      <c r="AR393" s="2" t="s">
        <v>86</v>
      </c>
      <c r="AS393" s="4">
        <v>225</v>
      </c>
      <c r="AT393" s="4">
        <v>234</v>
      </c>
      <c r="AU393" s="2" t="s">
        <v>86</v>
      </c>
      <c r="AV393" s="2" t="s">
        <v>86</v>
      </c>
      <c r="AW393" s="2" t="s">
        <v>86</v>
      </c>
      <c r="AX393" s="4">
        <v>10</v>
      </c>
      <c r="AY393" s="2" t="s">
        <v>5766</v>
      </c>
      <c r="AZ393" s="2" t="s">
        <v>92</v>
      </c>
      <c r="BA393" s="2" t="s">
        <v>5767</v>
      </c>
      <c r="BB393" s="2" t="s">
        <v>7139</v>
      </c>
      <c r="BC393" s="2" t="s">
        <v>86</v>
      </c>
      <c r="BD393" s="2" t="s">
        <v>86</v>
      </c>
      <c r="BE393" s="2" t="s">
        <v>86</v>
      </c>
      <c r="BF393" s="2" t="s">
        <v>86</v>
      </c>
      <c r="BG393" s="2" t="s">
        <v>95</v>
      </c>
      <c r="BH393" s="2" t="s">
        <v>7140</v>
      </c>
      <c r="BI393" s="2" t="str">
        <f>HYPERLINK("https%3A%2F%2Fwww.webofscience.com%2Fwos%2Fwoscc%2Ffull-record%2FWOS:000268760800032","View Full Record in Web of Science")</f>
        <v>View Full Record in Web of Science</v>
      </c>
    </row>
    <row r="394" spans="1:61" customFormat="1" ht="12.75" x14ac:dyDescent="0.2">
      <c r="A394" s="1">
        <v>391</v>
      </c>
      <c r="B394" s="1" t="s">
        <v>1068</v>
      </c>
      <c r="C394" s="1" t="s">
        <v>7141</v>
      </c>
      <c r="D394" s="2" t="s">
        <v>7142</v>
      </c>
      <c r="E394" s="2" t="s">
        <v>7143</v>
      </c>
      <c r="F394" s="3" t="str">
        <f>HYPERLINK("http://dx.doi.org/10.30621/jbachs.869552","http://dx.doi.org/10.30621/jbachs.869552")</f>
        <v>http://dx.doi.org/10.30621/jbachs.869552</v>
      </c>
      <c r="G394" s="2" t="s">
        <v>61</v>
      </c>
      <c r="H394" s="2" t="s">
        <v>7144</v>
      </c>
      <c r="I394" s="2" t="s">
        <v>7145</v>
      </c>
      <c r="J394" s="2" t="s">
        <v>7146</v>
      </c>
      <c r="K394" s="2" t="s">
        <v>68</v>
      </c>
      <c r="L394" s="2" t="s">
        <v>7147</v>
      </c>
      <c r="M394" s="2" t="s">
        <v>7148</v>
      </c>
      <c r="N394" s="2" t="s">
        <v>7149</v>
      </c>
      <c r="O394" s="2" t="s">
        <v>7150</v>
      </c>
      <c r="P394" s="2" t="s">
        <v>7151</v>
      </c>
      <c r="Q394" s="2" t="s">
        <v>7152</v>
      </c>
      <c r="R394" s="2" t="s">
        <v>86</v>
      </c>
      <c r="S394" s="2" t="s">
        <v>7153</v>
      </c>
      <c r="T394" s="2" t="s">
        <v>86</v>
      </c>
      <c r="U394" s="2" t="s">
        <v>86</v>
      </c>
      <c r="V394" s="2" t="s">
        <v>86</v>
      </c>
      <c r="W394" s="2" t="s">
        <v>80</v>
      </c>
      <c r="X394" s="4">
        <v>44</v>
      </c>
      <c r="Y394" s="4">
        <v>0</v>
      </c>
      <c r="Z394" s="4">
        <v>0</v>
      </c>
      <c r="AA394" s="4">
        <v>5</v>
      </c>
      <c r="AB394" s="4">
        <v>19</v>
      </c>
      <c r="AC394" s="2" t="s">
        <v>7154</v>
      </c>
      <c r="AD394" s="2" t="s">
        <v>7155</v>
      </c>
      <c r="AE394" s="2" t="s">
        <v>7156</v>
      </c>
      <c r="AF394" s="2" t="s">
        <v>7157</v>
      </c>
      <c r="AG394" s="2" t="s">
        <v>7158</v>
      </c>
      <c r="AH394" s="2" t="s">
        <v>86</v>
      </c>
      <c r="AI394" s="2" t="s">
        <v>7159</v>
      </c>
      <c r="AJ394" s="2" t="s">
        <v>7160</v>
      </c>
      <c r="AK394" s="2" t="s">
        <v>86</v>
      </c>
      <c r="AL394" s="4">
        <v>2022</v>
      </c>
      <c r="AM394" s="4">
        <v>6</v>
      </c>
      <c r="AN394" s="4">
        <v>2</v>
      </c>
      <c r="AO394" s="2" t="s">
        <v>86</v>
      </c>
      <c r="AP394" s="2" t="s">
        <v>86</v>
      </c>
      <c r="AQ394" s="2" t="s">
        <v>86</v>
      </c>
      <c r="AR394" s="2" t="s">
        <v>86</v>
      </c>
      <c r="AS394" s="4">
        <v>355</v>
      </c>
      <c r="AT394" s="4">
        <v>359</v>
      </c>
      <c r="AU394" s="2" t="s">
        <v>86</v>
      </c>
      <c r="AV394" s="2" t="s">
        <v>86</v>
      </c>
      <c r="AW394" s="2" t="s">
        <v>86</v>
      </c>
      <c r="AX394" s="4">
        <v>5</v>
      </c>
      <c r="AY394" s="2" t="s">
        <v>7161</v>
      </c>
      <c r="AZ394" s="2" t="s">
        <v>171</v>
      </c>
      <c r="BA394" s="2" t="s">
        <v>7161</v>
      </c>
      <c r="BB394" s="2" t="s">
        <v>7162</v>
      </c>
      <c r="BC394" s="2" t="s">
        <v>86</v>
      </c>
      <c r="BD394" s="2" t="s">
        <v>723</v>
      </c>
      <c r="BE394" s="2" t="s">
        <v>86</v>
      </c>
      <c r="BF394" s="2" t="s">
        <v>86</v>
      </c>
      <c r="BG394" s="2" t="s">
        <v>95</v>
      </c>
      <c r="BH394" s="2" t="s">
        <v>7163</v>
      </c>
      <c r="BI394" s="2" t="str">
        <f>HYPERLINK("https%3A%2F%2Fwww.webofscience.com%2Fwos%2Fwoscc%2Ffull-record%2FWOS:000809667400040","View Full Record in Web of Science")</f>
        <v>View Full Record in Web of Science</v>
      </c>
    </row>
    <row r="395" spans="1:61" customFormat="1" ht="12.75" x14ac:dyDescent="0.2">
      <c r="A395" s="1">
        <v>392</v>
      </c>
      <c r="B395" s="1" t="s">
        <v>1068</v>
      </c>
      <c r="C395" s="1" t="s">
        <v>7164</v>
      </c>
      <c r="D395" s="2" t="s">
        <v>7165</v>
      </c>
      <c r="E395" s="2" t="s">
        <v>86</v>
      </c>
      <c r="F395" s="2" t="s">
        <v>86</v>
      </c>
      <c r="G395" s="2" t="s">
        <v>200</v>
      </c>
      <c r="H395" s="2" t="s">
        <v>7166</v>
      </c>
      <c r="I395" s="2" t="s">
        <v>7166</v>
      </c>
      <c r="J395" s="2" t="s">
        <v>7167</v>
      </c>
      <c r="K395" s="2" t="s">
        <v>68</v>
      </c>
      <c r="L395" s="2" t="s">
        <v>7168</v>
      </c>
      <c r="M395" s="2" t="s">
        <v>7169</v>
      </c>
      <c r="N395" s="2" t="s">
        <v>7170</v>
      </c>
      <c r="O395" s="2" t="s">
        <v>2401</v>
      </c>
      <c r="P395" s="2" t="s">
        <v>7171</v>
      </c>
      <c r="Q395" s="2" t="s">
        <v>86</v>
      </c>
      <c r="R395" s="2" t="s">
        <v>7172</v>
      </c>
      <c r="S395" s="2" t="s">
        <v>7173</v>
      </c>
      <c r="T395" s="2" t="s">
        <v>86</v>
      </c>
      <c r="U395" s="2" t="s">
        <v>86</v>
      </c>
      <c r="V395" s="2" t="s">
        <v>86</v>
      </c>
      <c r="W395" s="2" t="s">
        <v>80</v>
      </c>
      <c r="X395" s="4">
        <v>16</v>
      </c>
      <c r="Y395" s="4">
        <v>11</v>
      </c>
      <c r="Z395" s="4">
        <v>11</v>
      </c>
      <c r="AA395" s="4">
        <v>0</v>
      </c>
      <c r="AB395" s="4">
        <v>5</v>
      </c>
      <c r="AC395" s="2" t="s">
        <v>7174</v>
      </c>
      <c r="AD395" s="2" t="s">
        <v>7175</v>
      </c>
      <c r="AE395" s="2" t="s">
        <v>7176</v>
      </c>
      <c r="AF395" s="2" t="s">
        <v>7177</v>
      </c>
      <c r="AG395" s="2" t="s">
        <v>86</v>
      </c>
      <c r="AH395" s="2" t="s">
        <v>86</v>
      </c>
      <c r="AI395" s="2" t="s">
        <v>7178</v>
      </c>
      <c r="AJ395" s="2" t="s">
        <v>7179</v>
      </c>
      <c r="AK395" s="2" t="s">
        <v>342</v>
      </c>
      <c r="AL395" s="4">
        <v>2000</v>
      </c>
      <c r="AM395" s="4">
        <v>64</v>
      </c>
      <c r="AN395" s="4">
        <v>3</v>
      </c>
      <c r="AO395" s="2" t="s">
        <v>86</v>
      </c>
      <c r="AP395" s="2" t="s">
        <v>86</v>
      </c>
      <c r="AQ395" s="2" t="s">
        <v>86</v>
      </c>
      <c r="AR395" s="2" t="s">
        <v>86</v>
      </c>
      <c r="AS395" s="4">
        <v>134</v>
      </c>
      <c r="AT395" s="4">
        <v>138</v>
      </c>
      <c r="AU395" s="2" t="s">
        <v>86</v>
      </c>
      <c r="AV395" s="2" t="s">
        <v>86</v>
      </c>
      <c r="AW395" s="2" t="s">
        <v>86</v>
      </c>
      <c r="AX395" s="4">
        <v>5</v>
      </c>
      <c r="AY395" s="2" t="s">
        <v>4718</v>
      </c>
      <c r="AZ395" s="2" t="s">
        <v>92</v>
      </c>
      <c r="BA395" s="2" t="s">
        <v>4719</v>
      </c>
      <c r="BB395" s="2" t="s">
        <v>7180</v>
      </c>
      <c r="BC395" s="2" t="s">
        <v>86</v>
      </c>
      <c r="BD395" s="2" t="s">
        <v>86</v>
      </c>
      <c r="BE395" s="2" t="s">
        <v>86</v>
      </c>
      <c r="BF395" s="2" t="s">
        <v>86</v>
      </c>
      <c r="BG395" s="2" t="s">
        <v>95</v>
      </c>
      <c r="BH395" s="2" t="s">
        <v>7181</v>
      </c>
      <c r="BI395" s="2" t="str">
        <f>HYPERLINK("https%3A%2F%2Fwww.webofscience.com%2Fwos%2Fwoscc%2Ffull-record%2FWOS:000087777100007","View Full Record in Web of Science")</f>
        <v>View Full Record in Web of Science</v>
      </c>
    </row>
    <row r="396" spans="1:61" customFormat="1" ht="12.75" x14ac:dyDescent="0.2">
      <c r="A396" s="1">
        <v>393</v>
      </c>
      <c r="B396" s="1" t="s">
        <v>1068</v>
      </c>
      <c r="C396" s="1" t="s">
        <v>7182</v>
      </c>
      <c r="D396" s="2" t="s">
        <v>7183</v>
      </c>
      <c r="E396" s="2" t="s">
        <v>7184</v>
      </c>
      <c r="F396" s="3" t="str">
        <f>HYPERLINK("http://dx.doi.org/10.1002/pc.22252","http://dx.doi.org/10.1002/pc.22252")</f>
        <v>http://dx.doi.org/10.1002/pc.22252</v>
      </c>
      <c r="G396" s="2" t="s">
        <v>200</v>
      </c>
      <c r="H396" s="2" t="s">
        <v>7185</v>
      </c>
      <c r="I396" s="2" t="s">
        <v>7186</v>
      </c>
      <c r="J396" s="2" t="s">
        <v>4949</v>
      </c>
      <c r="K396" s="2" t="s">
        <v>68</v>
      </c>
      <c r="L396" s="2" t="s">
        <v>86</v>
      </c>
      <c r="M396" s="2" t="s">
        <v>7187</v>
      </c>
      <c r="N396" s="2" t="s">
        <v>7188</v>
      </c>
      <c r="O396" s="2" t="s">
        <v>3149</v>
      </c>
      <c r="P396" s="2" t="s">
        <v>6424</v>
      </c>
      <c r="Q396" s="2" t="s">
        <v>6425</v>
      </c>
      <c r="R396" s="2" t="s">
        <v>86</v>
      </c>
      <c r="S396" s="2" t="s">
        <v>86</v>
      </c>
      <c r="T396" s="2" t="s">
        <v>86</v>
      </c>
      <c r="U396" s="2" t="s">
        <v>86</v>
      </c>
      <c r="V396" s="2" t="s">
        <v>86</v>
      </c>
      <c r="W396" s="2" t="s">
        <v>80</v>
      </c>
      <c r="X396" s="4">
        <v>71</v>
      </c>
      <c r="Y396" s="4">
        <v>2</v>
      </c>
      <c r="Z396" s="4">
        <v>2</v>
      </c>
      <c r="AA396" s="4">
        <v>1</v>
      </c>
      <c r="AB396" s="4">
        <v>23</v>
      </c>
      <c r="AC396" s="2" t="s">
        <v>956</v>
      </c>
      <c r="AD396" s="2" t="s">
        <v>957</v>
      </c>
      <c r="AE396" s="2" t="s">
        <v>958</v>
      </c>
      <c r="AF396" s="2" t="s">
        <v>4960</v>
      </c>
      <c r="AG396" s="2" t="s">
        <v>4961</v>
      </c>
      <c r="AH396" s="2" t="s">
        <v>86</v>
      </c>
      <c r="AI396" s="2" t="s">
        <v>4962</v>
      </c>
      <c r="AJ396" s="2" t="s">
        <v>4963</v>
      </c>
      <c r="AK396" s="2" t="s">
        <v>636</v>
      </c>
      <c r="AL396" s="4">
        <v>2012</v>
      </c>
      <c r="AM396" s="4">
        <v>33</v>
      </c>
      <c r="AN396" s="4">
        <v>8</v>
      </c>
      <c r="AO396" s="2" t="s">
        <v>86</v>
      </c>
      <c r="AP396" s="2" t="s">
        <v>86</v>
      </c>
      <c r="AQ396" s="2" t="s">
        <v>86</v>
      </c>
      <c r="AR396" s="2" t="s">
        <v>86</v>
      </c>
      <c r="AS396" s="4">
        <v>1274</v>
      </c>
      <c r="AT396" s="4">
        <v>1287</v>
      </c>
      <c r="AU396" s="2" t="s">
        <v>86</v>
      </c>
      <c r="AV396" s="2" t="s">
        <v>86</v>
      </c>
      <c r="AW396" s="2" t="s">
        <v>86</v>
      </c>
      <c r="AX396" s="4">
        <v>14</v>
      </c>
      <c r="AY396" s="2" t="s">
        <v>4964</v>
      </c>
      <c r="AZ396" s="2" t="s">
        <v>92</v>
      </c>
      <c r="BA396" s="2" t="s">
        <v>4304</v>
      </c>
      <c r="BB396" s="2" t="s">
        <v>7189</v>
      </c>
      <c r="BC396" s="2" t="s">
        <v>86</v>
      </c>
      <c r="BD396" s="2" t="s">
        <v>86</v>
      </c>
      <c r="BE396" s="2" t="s">
        <v>86</v>
      </c>
      <c r="BF396" s="2" t="s">
        <v>86</v>
      </c>
      <c r="BG396" s="2" t="s">
        <v>95</v>
      </c>
      <c r="BH396" s="2" t="s">
        <v>7190</v>
      </c>
      <c r="BI396" s="2" t="str">
        <f>HYPERLINK("https%3A%2F%2Fwww.webofscience.com%2Fwos%2Fwoscc%2Ffull-record%2FWOS:000306359800003","View Full Record in Web of Science")</f>
        <v>View Full Record in Web of Science</v>
      </c>
    </row>
    <row r="397" spans="1:61" customFormat="1" ht="12.75" x14ac:dyDescent="0.2">
      <c r="A397" s="1">
        <v>394</v>
      </c>
      <c r="B397" s="1" t="s">
        <v>1068</v>
      </c>
      <c r="C397" s="1" t="s">
        <v>7191</v>
      </c>
      <c r="D397" s="2" t="s">
        <v>7192</v>
      </c>
      <c r="E397" s="2" t="s">
        <v>86</v>
      </c>
      <c r="F397" s="2" t="s">
        <v>86</v>
      </c>
      <c r="G397" s="2" t="s">
        <v>200</v>
      </c>
      <c r="H397" s="2" t="s">
        <v>7193</v>
      </c>
      <c r="I397" s="2" t="s">
        <v>7193</v>
      </c>
      <c r="J397" s="2" t="s">
        <v>7194</v>
      </c>
      <c r="K397" s="2" t="s">
        <v>68</v>
      </c>
      <c r="L397" s="2" t="s">
        <v>7195</v>
      </c>
      <c r="M397" s="2" t="s">
        <v>86</v>
      </c>
      <c r="N397" s="2" t="s">
        <v>86</v>
      </c>
      <c r="O397" s="2" t="s">
        <v>86</v>
      </c>
      <c r="P397" s="2" t="s">
        <v>7196</v>
      </c>
      <c r="Q397" s="2" t="s">
        <v>86</v>
      </c>
      <c r="R397" s="2" t="s">
        <v>86</v>
      </c>
      <c r="S397" s="2" t="s">
        <v>86</v>
      </c>
      <c r="T397" s="2" t="s">
        <v>86</v>
      </c>
      <c r="U397" s="2" t="s">
        <v>86</v>
      </c>
      <c r="V397" s="2" t="s">
        <v>86</v>
      </c>
      <c r="W397" s="2" t="s">
        <v>80</v>
      </c>
      <c r="X397" s="4">
        <v>40</v>
      </c>
      <c r="Y397" s="4">
        <v>5</v>
      </c>
      <c r="Z397" s="4">
        <v>5</v>
      </c>
      <c r="AA397" s="4">
        <v>0</v>
      </c>
      <c r="AB397" s="4">
        <v>14</v>
      </c>
      <c r="AC397" s="2" t="s">
        <v>7197</v>
      </c>
      <c r="AD397" s="2" t="s">
        <v>7198</v>
      </c>
      <c r="AE397" s="2" t="s">
        <v>7199</v>
      </c>
      <c r="AF397" s="2" t="s">
        <v>7200</v>
      </c>
      <c r="AG397" s="2" t="s">
        <v>86</v>
      </c>
      <c r="AH397" s="2" t="s">
        <v>86</v>
      </c>
      <c r="AI397" s="2" t="s">
        <v>7201</v>
      </c>
      <c r="AJ397" s="2" t="s">
        <v>7202</v>
      </c>
      <c r="AK397" s="2" t="s">
        <v>366</v>
      </c>
      <c r="AL397" s="4">
        <v>1994</v>
      </c>
      <c r="AM397" s="4">
        <v>22</v>
      </c>
      <c r="AN397" s="4">
        <v>2</v>
      </c>
      <c r="AO397" s="2" t="s">
        <v>86</v>
      </c>
      <c r="AP397" s="2" t="s">
        <v>86</v>
      </c>
      <c r="AQ397" s="2" t="s">
        <v>86</v>
      </c>
      <c r="AR397" s="2" t="s">
        <v>86</v>
      </c>
      <c r="AS397" s="4">
        <v>149</v>
      </c>
      <c r="AT397" s="4">
        <v>160</v>
      </c>
      <c r="AU397" s="2" t="s">
        <v>86</v>
      </c>
      <c r="AV397" s="2" t="s">
        <v>86</v>
      </c>
      <c r="AW397" s="2" t="s">
        <v>86</v>
      </c>
      <c r="AX397" s="4">
        <v>12</v>
      </c>
      <c r="AY397" s="2" t="s">
        <v>6745</v>
      </c>
      <c r="AZ397" s="2" t="s">
        <v>92</v>
      </c>
      <c r="BA397" s="2" t="s">
        <v>3123</v>
      </c>
      <c r="BB397" s="2" t="s">
        <v>7203</v>
      </c>
      <c r="BC397" s="2" t="s">
        <v>86</v>
      </c>
      <c r="BD397" s="2" t="s">
        <v>86</v>
      </c>
      <c r="BE397" s="2" t="s">
        <v>86</v>
      </c>
      <c r="BF397" s="2" t="s">
        <v>86</v>
      </c>
      <c r="BG397" s="2" t="s">
        <v>95</v>
      </c>
      <c r="BH397" s="2" t="s">
        <v>7204</v>
      </c>
      <c r="BI397" s="2" t="str">
        <f>HYPERLINK("https%3A%2F%2Fwww.webofscience.com%2Fwos%2Fwoscc%2Ffull-record%2FWOS:A1994MZ29800010","View Full Record in Web of Science")</f>
        <v>View Full Record in Web of Science</v>
      </c>
    </row>
    <row r="398" spans="1:61" customFormat="1" ht="12.75" x14ac:dyDescent="0.2">
      <c r="A398" s="1">
        <v>395</v>
      </c>
      <c r="B398" s="1" t="s">
        <v>1068</v>
      </c>
      <c r="C398" s="1" t="s">
        <v>7205</v>
      </c>
      <c r="D398" s="2" t="s">
        <v>7206</v>
      </c>
      <c r="E398" s="2" t="s">
        <v>7207</v>
      </c>
      <c r="F398" s="3" t="str">
        <f>HYPERLINK("http://dx.doi.org/10.1002/pc.20950","http://dx.doi.org/10.1002/pc.20950")</f>
        <v>http://dx.doi.org/10.1002/pc.20950</v>
      </c>
      <c r="G398" s="2" t="s">
        <v>200</v>
      </c>
      <c r="H398" s="2" t="s">
        <v>7208</v>
      </c>
      <c r="I398" s="2" t="s">
        <v>7209</v>
      </c>
      <c r="J398" s="2" t="s">
        <v>4949</v>
      </c>
      <c r="K398" s="2" t="s">
        <v>68</v>
      </c>
      <c r="L398" s="2" t="s">
        <v>86</v>
      </c>
      <c r="M398" s="2" t="s">
        <v>7210</v>
      </c>
      <c r="N398" s="2" t="s">
        <v>7211</v>
      </c>
      <c r="O398" s="2" t="s">
        <v>7212</v>
      </c>
      <c r="P398" s="2" t="s">
        <v>7213</v>
      </c>
      <c r="Q398" s="2" t="s">
        <v>6425</v>
      </c>
      <c r="R398" s="2" t="s">
        <v>6092</v>
      </c>
      <c r="S398" s="2" t="s">
        <v>6093</v>
      </c>
      <c r="T398" s="2" t="s">
        <v>7214</v>
      </c>
      <c r="U398" s="2" t="s">
        <v>7215</v>
      </c>
      <c r="V398" s="2" t="s">
        <v>7216</v>
      </c>
      <c r="W398" s="2" t="s">
        <v>80</v>
      </c>
      <c r="X398" s="4">
        <v>31</v>
      </c>
      <c r="Y398" s="4">
        <v>8</v>
      </c>
      <c r="Z398" s="4">
        <v>8</v>
      </c>
      <c r="AA398" s="4">
        <v>0</v>
      </c>
      <c r="AB398" s="4">
        <v>16</v>
      </c>
      <c r="AC398" s="2" t="s">
        <v>7217</v>
      </c>
      <c r="AD398" s="2" t="s">
        <v>957</v>
      </c>
      <c r="AE398" s="2" t="s">
        <v>7218</v>
      </c>
      <c r="AF398" s="2" t="s">
        <v>4960</v>
      </c>
      <c r="AG398" s="2" t="s">
        <v>86</v>
      </c>
      <c r="AH398" s="2" t="s">
        <v>86</v>
      </c>
      <c r="AI398" s="2" t="s">
        <v>4962</v>
      </c>
      <c r="AJ398" s="2" t="s">
        <v>4963</v>
      </c>
      <c r="AK398" s="2" t="s">
        <v>440</v>
      </c>
      <c r="AL398" s="4">
        <v>2010</v>
      </c>
      <c r="AM398" s="4">
        <v>31</v>
      </c>
      <c r="AN398" s="4">
        <v>9</v>
      </c>
      <c r="AO398" s="2" t="s">
        <v>86</v>
      </c>
      <c r="AP398" s="2" t="s">
        <v>86</v>
      </c>
      <c r="AQ398" s="2" t="s">
        <v>86</v>
      </c>
      <c r="AR398" s="2" t="s">
        <v>86</v>
      </c>
      <c r="AS398" s="4">
        <v>1611</v>
      </c>
      <c r="AT398" s="4">
        <v>1619</v>
      </c>
      <c r="AU398" s="2" t="s">
        <v>86</v>
      </c>
      <c r="AV398" s="2" t="s">
        <v>86</v>
      </c>
      <c r="AW398" s="2" t="s">
        <v>86</v>
      </c>
      <c r="AX398" s="4">
        <v>9</v>
      </c>
      <c r="AY398" s="2" t="s">
        <v>4964</v>
      </c>
      <c r="AZ398" s="2" t="s">
        <v>92</v>
      </c>
      <c r="BA398" s="2" t="s">
        <v>4304</v>
      </c>
      <c r="BB398" s="2" t="s">
        <v>7219</v>
      </c>
      <c r="BC398" s="2" t="s">
        <v>86</v>
      </c>
      <c r="BD398" s="2" t="s">
        <v>86</v>
      </c>
      <c r="BE398" s="2" t="s">
        <v>86</v>
      </c>
      <c r="BF398" s="2" t="s">
        <v>86</v>
      </c>
      <c r="BG398" s="2" t="s">
        <v>95</v>
      </c>
      <c r="BH398" s="2" t="s">
        <v>7220</v>
      </c>
      <c r="BI398" s="2" t="str">
        <f>HYPERLINK("https%3A%2F%2Fwww.webofscience.com%2Fwos%2Fwoscc%2Ffull-record%2FWOS:000281123900013","View Full Record in Web of Science")</f>
        <v>View Full Record in Web of Science</v>
      </c>
    </row>
    <row r="399" spans="1:61" customFormat="1" ht="12.75" x14ac:dyDescent="0.2">
      <c r="A399" s="1">
        <v>396</v>
      </c>
      <c r="B399" s="1" t="s">
        <v>1068</v>
      </c>
      <c r="C399" s="1" t="s">
        <v>7221</v>
      </c>
      <c r="D399" s="2" t="s">
        <v>7222</v>
      </c>
      <c r="E399" s="2" t="s">
        <v>7223</v>
      </c>
      <c r="F399" s="3" t="str">
        <f>HYPERLINK("http://dx.doi.org/10.4194/1303-2712-v16_1_22","http://dx.doi.org/10.4194/1303-2712-v16_1_22")</f>
        <v>http://dx.doi.org/10.4194/1303-2712-v16_1_22</v>
      </c>
      <c r="G399" s="2" t="s">
        <v>200</v>
      </c>
      <c r="H399" s="2" t="s">
        <v>7224</v>
      </c>
      <c r="I399" s="2" t="s">
        <v>7225</v>
      </c>
      <c r="J399" s="2" t="s">
        <v>620</v>
      </c>
      <c r="K399" s="2" t="s">
        <v>68</v>
      </c>
      <c r="L399" s="2" t="s">
        <v>7226</v>
      </c>
      <c r="M399" s="2" t="s">
        <v>7227</v>
      </c>
      <c r="N399" s="2" t="s">
        <v>7228</v>
      </c>
      <c r="O399" s="2" t="s">
        <v>7229</v>
      </c>
      <c r="P399" s="2" t="s">
        <v>7230</v>
      </c>
      <c r="Q399" s="2" t="s">
        <v>7231</v>
      </c>
      <c r="R399" s="2" t="s">
        <v>7232</v>
      </c>
      <c r="S399" s="2" t="s">
        <v>7233</v>
      </c>
      <c r="T399" s="2" t="s">
        <v>7234</v>
      </c>
      <c r="U399" s="2" t="s">
        <v>7235</v>
      </c>
      <c r="V399" s="2" t="s">
        <v>7236</v>
      </c>
      <c r="W399" s="2" t="s">
        <v>80</v>
      </c>
      <c r="X399" s="4">
        <v>19</v>
      </c>
      <c r="Y399" s="4">
        <v>33</v>
      </c>
      <c r="Z399" s="4">
        <v>36</v>
      </c>
      <c r="AA399" s="4">
        <v>1</v>
      </c>
      <c r="AB399" s="4">
        <v>13</v>
      </c>
      <c r="AC399" s="2" t="s">
        <v>629</v>
      </c>
      <c r="AD399" s="2" t="s">
        <v>630</v>
      </c>
      <c r="AE399" s="2" t="s">
        <v>631</v>
      </c>
      <c r="AF399" s="2" t="s">
        <v>632</v>
      </c>
      <c r="AG399" s="2" t="s">
        <v>633</v>
      </c>
      <c r="AH399" s="2" t="s">
        <v>86</v>
      </c>
      <c r="AI399" s="2" t="s">
        <v>634</v>
      </c>
      <c r="AJ399" s="2" t="s">
        <v>635</v>
      </c>
      <c r="AK399" s="2" t="s">
        <v>366</v>
      </c>
      <c r="AL399" s="4">
        <v>2016</v>
      </c>
      <c r="AM399" s="4">
        <v>16</v>
      </c>
      <c r="AN399" s="4">
        <v>1</v>
      </c>
      <c r="AO399" s="2" t="s">
        <v>86</v>
      </c>
      <c r="AP399" s="2" t="s">
        <v>86</v>
      </c>
      <c r="AQ399" s="2" t="s">
        <v>86</v>
      </c>
      <c r="AR399" s="2" t="s">
        <v>86</v>
      </c>
      <c r="AS399" s="4">
        <v>213</v>
      </c>
      <c r="AT399" s="4">
        <v>218</v>
      </c>
      <c r="AU399" s="2" t="s">
        <v>86</v>
      </c>
      <c r="AV399" s="2" t="s">
        <v>86</v>
      </c>
      <c r="AW399" s="2" t="s">
        <v>86</v>
      </c>
      <c r="AX399" s="4">
        <v>6</v>
      </c>
      <c r="AY399" s="2" t="s">
        <v>319</v>
      </c>
      <c r="AZ399" s="2" t="s">
        <v>92</v>
      </c>
      <c r="BA399" s="2" t="s">
        <v>319</v>
      </c>
      <c r="BB399" s="2" t="s">
        <v>6081</v>
      </c>
      <c r="BC399" s="2" t="s">
        <v>86</v>
      </c>
      <c r="BD399" s="2" t="s">
        <v>1491</v>
      </c>
      <c r="BE399" s="2" t="s">
        <v>86</v>
      </c>
      <c r="BF399" s="2" t="s">
        <v>86</v>
      </c>
      <c r="BG399" s="2" t="s">
        <v>95</v>
      </c>
      <c r="BH399" s="2" t="s">
        <v>7237</v>
      </c>
      <c r="BI399" s="2" t="str">
        <f>HYPERLINK("https%3A%2F%2Fwww.webofscience.com%2Fwos%2Fwoscc%2Ffull-record%2FWOS:000378815400022","View Full Record in Web of Science")</f>
        <v>View Full Record in Web of Science</v>
      </c>
    </row>
    <row r="400" spans="1:61" customFormat="1" ht="12.75" x14ac:dyDescent="0.2">
      <c r="A400" s="1">
        <v>397</v>
      </c>
      <c r="B400" s="1" t="s">
        <v>1068</v>
      </c>
      <c r="C400" s="1" t="s">
        <v>7238</v>
      </c>
      <c r="D400" s="2" t="s">
        <v>7239</v>
      </c>
      <c r="E400" s="2" t="s">
        <v>7240</v>
      </c>
      <c r="F400" s="3" t="str">
        <f>HYPERLINK("http://dx.doi.org/10.32710/tekstilvekonfeksiyon.767428","http://dx.doi.org/10.32710/tekstilvekonfeksiyon.767428")</f>
        <v>http://dx.doi.org/10.32710/tekstilvekonfeksiyon.767428</v>
      </c>
      <c r="G400" s="2" t="s">
        <v>200</v>
      </c>
      <c r="H400" s="2" t="s">
        <v>7241</v>
      </c>
      <c r="I400" s="2" t="s">
        <v>7242</v>
      </c>
      <c r="J400" s="2" t="s">
        <v>7243</v>
      </c>
      <c r="K400" s="2" t="s">
        <v>68</v>
      </c>
      <c r="L400" s="2" t="s">
        <v>7244</v>
      </c>
      <c r="M400" s="2" t="s">
        <v>7245</v>
      </c>
      <c r="N400" s="2" t="s">
        <v>7246</v>
      </c>
      <c r="O400" s="2" t="s">
        <v>7247</v>
      </c>
      <c r="P400" s="2" t="s">
        <v>7248</v>
      </c>
      <c r="Q400" s="2" t="s">
        <v>7249</v>
      </c>
      <c r="R400" s="2" t="s">
        <v>86</v>
      </c>
      <c r="S400" s="2" t="s">
        <v>86</v>
      </c>
      <c r="T400" s="2" t="s">
        <v>86</v>
      </c>
      <c r="U400" s="2" t="s">
        <v>86</v>
      </c>
      <c r="V400" s="2" t="s">
        <v>86</v>
      </c>
      <c r="W400" s="2" t="s">
        <v>80</v>
      </c>
      <c r="X400" s="4">
        <v>24</v>
      </c>
      <c r="Y400" s="4">
        <v>0</v>
      </c>
      <c r="Z400" s="4">
        <v>0</v>
      </c>
      <c r="AA400" s="4">
        <v>4</v>
      </c>
      <c r="AB400" s="4">
        <v>22</v>
      </c>
      <c r="AC400" s="2" t="s">
        <v>7250</v>
      </c>
      <c r="AD400" s="2" t="s">
        <v>7155</v>
      </c>
      <c r="AE400" s="2" t="s">
        <v>7251</v>
      </c>
      <c r="AF400" s="2" t="s">
        <v>7252</v>
      </c>
      <c r="AG400" s="2" t="s">
        <v>86</v>
      </c>
      <c r="AH400" s="2" t="s">
        <v>86</v>
      </c>
      <c r="AI400" s="2" t="s">
        <v>7253</v>
      </c>
      <c r="AJ400" s="2" t="s">
        <v>7254</v>
      </c>
      <c r="AK400" s="2" t="s">
        <v>86</v>
      </c>
      <c r="AL400" s="4">
        <v>2021</v>
      </c>
      <c r="AM400" s="4">
        <v>31</v>
      </c>
      <c r="AN400" s="4">
        <v>3</v>
      </c>
      <c r="AO400" s="2" t="s">
        <v>86</v>
      </c>
      <c r="AP400" s="2" t="s">
        <v>86</v>
      </c>
      <c r="AQ400" s="2" t="s">
        <v>86</v>
      </c>
      <c r="AR400" s="2" t="s">
        <v>86</v>
      </c>
      <c r="AS400" s="4">
        <v>171</v>
      </c>
      <c r="AT400" s="4">
        <v>182</v>
      </c>
      <c r="AU400" s="2" t="s">
        <v>86</v>
      </c>
      <c r="AV400" s="2" t="s">
        <v>86</v>
      </c>
      <c r="AW400" s="2" t="s">
        <v>86</v>
      </c>
      <c r="AX400" s="4">
        <v>12</v>
      </c>
      <c r="AY400" s="2" t="s">
        <v>3378</v>
      </c>
      <c r="AZ400" s="2" t="s">
        <v>92</v>
      </c>
      <c r="BA400" s="2" t="s">
        <v>3123</v>
      </c>
      <c r="BB400" s="2" t="s">
        <v>7255</v>
      </c>
      <c r="BC400" s="2" t="s">
        <v>86</v>
      </c>
      <c r="BD400" s="2" t="s">
        <v>6663</v>
      </c>
      <c r="BE400" s="2" t="s">
        <v>86</v>
      </c>
      <c r="BF400" s="2" t="s">
        <v>86</v>
      </c>
      <c r="BG400" s="2" t="s">
        <v>95</v>
      </c>
      <c r="BH400" s="2" t="s">
        <v>7256</v>
      </c>
      <c r="BI400" s="2" t="str">
        <f>HYPERLINK("https%3A%2F%2Fwww.webofscience.com%2Fwos%2Fwoscc%2Ffull-record%2FWOS:000706465900003","View Full Record in Web of Science")</f>
        <v>View Full Record in Web of Science</v>
      </c>
    </row>
    <row r="401" spans="1:61" customFormat="1" ht="12.75" x14ac:dyDescent="0.2">
      <c r="A401" s="1">
        <v>398</v>
      </c>
      <c r="B401" s="1" t="s">
        <v>1068</v>
      </c>
      <c r="C401" s="1" t="s">
        <v>7257</v>
      </c>
      <c r="D401" s="2" t="s">
        <v>7258</v>
      </c>
      <c r="E401" s="2" t="s">
        <v>7259</v>
      </c>
      <c r="F401" s="3" t="str">
        <f>HYPERLINK("http://dx.doi.org/10.3906/tar-2109-97","http://dx.doi.org/10.3906/tar-2109-97")</f>
        <v>http://dx.doi.org/10.3906/tar-2109-97</v>
      </c>
      <c r="G401" s="2" t="s">
        <v>200</v>
      </c>
      <c r="H401" s="2" t="s">
        <v>7260</v>
      </c>
      <c r="I401" s="2" t="s">
        <v>7261</v>
      </c>
      <c r="J401" s="2" t="s">
        <v>6100</v>
      </c>
      <c r="K401" s="2" t="s">
        <v>68</v>
      </c>
      <c r="L401" s="2" t="s">
        <v>7262</v>
      </c>
      <c r="M401" s="2" t="s">
        <v>7263</v>
      </c>
      <c r="N401" s="2" t="s">
        <v>7264</v>
      </c>
      <c r="O401" s="2" t="s">
        <v>7265</v>
      </c>
      <c r="P401" s="2" t="s">
        <v>7266</v>
      </c>
      <c r="Q401" s="2" t="s">
        <v>7267</v>
      </c>
      <c r="R401" s="2" t="s">
        <v>86</v>
      </c>
      <c r="S401" s="2" t="s">
        <v>86</v>
      </c>
      <c r="T401" s="2" t="s">
        <v>7268</v>
      </c>
      <c r="U401" s="2" t="s">
        <v>434</v>
      </c>
      <c r="V401" s="2" t="s">
        <v>7269</v>
      </c>
      <c r="W401" s="2" t="s">
        <v>80</v>
      </c>
      <c r="X401" s="4">
        <v>41</v>
      </c>
      <c r="Y401" s="4">
        <v>2</v>
      </c>
      <c r="Z401" s="4">
        <v>2</v>
      </c>
      <c r="AA401" s="4">
        <v>0</v>
      </c>
      <c r="AB401" s="4">
        <v>4</v>
      </c>
      <c r="AC401" s="2" t="s">
        <v>3032</v>
      </c>
      <c r="AD401" s="2" t="s">
        <v>932</v>
      </c>
      <c r="AE401" s="2" t="s">
        <v>3033</v>
      </c>
      <c r="AF401" s="2" t="s">
        <v>6110</v>
      </c>
      <c r="AG401" s="2" t="s">
        <v>7270</v>
      </c>
      <c r="AH401" s="2" t="s">
        <v>86</v>
      </c>
      <c r="AI401" s="2" t="s">
        <v>6111</v>
      </c>
      <c r="AJ401" s="2" t="s">
        <v>6112</v>
      </c>
      <c r="AK401" s="2" t="s">
        <v>86</v>
      </c>
      <c r="AL401" s="4">
        <v>2022</v>
      </c>
      <c r="AM401" s="4">
        <v>46</v>
      </c>
      <c r="AN401" s="4">
        <v>1</v>
      </c>
      <c r="AO401" s="2" t="s">
        <v>86</v>
      </c>
      <c r="AP401" s="2" t="s">
        <v>86</v>
      </c>
      <c r="AQ401" s="2" t="s">
        <v>86</v>
      </c>
      <c r="AR401" s="2" t="s">
        <v>86</v>
      </c>
      <c r="AS401" s="4">
        <v>104</v>
      </c>
      <c r="AT401" s="4">
        <v>112</v>
      </c>
      <c r="AU401" s="2" t="s">
        <v>86</v>
      </c>
      <c r="AV401" s="2" t="s">
        <v>86</v>
      </c>
      <c r="AW401" s="2" t="s">
        <v>86</v>
      </c>
      <c r="AX401" s="4">
        <v>9</v>
      </c>
      <c r="AY401" s="2" t="s">
        <v>6113</v>
      </c>
      <c r="AZ401" s="2" t="s">
        <v>92</v>
      </c>
      <c r="BA401" s="2" t="s">
        <v>6114</v>
      </c>
      <c r="BB401" s="2" t="s">
        <v>7271</v>
      </c>
      <c r="BC401" s="2" t="s">
        <v>86</v>
      </c>
      <c r="BD401" s="2" t="s">
        <v>1491</v>
      </c>
      <c r="BE401" s="2" t="s">
        <v>86</v>
      </c>
      <c r="BF401" s="2" t="s">
        <v>86</v>
      </c>
      <c r="BG401" s="2" t="s">
        <v>95</v>
      </c>
      <c r="BH401" s="2" t="s">
        <v>7272</v>
      </c>
      <c r="BI401" s="2" t="str">
        <f>HYPERLINK("https%3A%2F%2Fwww.webofscience.com%2Fwos%2Fwoscc%2Ffull-record%2FWOS:000754797900006","View Full Record in Web of Science")</f>
        <v>View Full Record in Web of Science</v>
      </c>
    </row>
    <row r="402" spans="1:61" customFormat="1" ht="12.75" x14ac:dyDescent="0.2">
      <c r="A402" s="1">
        <v>399</v>
      </c>
      <c r="B402" s="1" t="s">
        <v>1068</v>
      </c>
      <c r="C402" s="1" t="s">
        <v>7273</v>
      </c>
      <c r="D402" s="2" t="s">
        <v>7274</v>
      </c>
      <c r="E402" s="2" t="s">
        <v>86</v>
      </c>
      <c r="F402" s="2" t="s">
        <v>86</v>
      </c>
      <c r="G402" s="2" t="s">
        <v>200</v>
      </c>
      <c r="H402" s="2" t="s">
        <v>7275</v>
      </c>
      <c r="I402" s="2" t="s">
        <v>7276</v>
      </c>
      <c r="J402" s="2" t="s">
        <v>7277</v>
      </c>
      <c r="K402" s="2" t="s">
        <v>68</v>
      </c>
      <c r="L402" s="2" t="s">
        <v>7278</v>
      </c>
      <c r="M402" s="2" t="s">
        <v>7279</v>
      </c>
      <c r="N402" s="2" t="s">
        <v>7280</v>
      </c>
      <c r="O402" s="2" t="s">
        <v>7281</v>
      </c>
      <c r="P402" s="2" t="s">
        <v>7282</v>
      </c>
      <c r="Q402" s="2" t="s">
        <v>86</v>
      </c>
      <c r="R402" s="2" t="s">
        <v>7283</v>
      </c>
      <c r="S402" s="2" t="s">
        <v>7284</v>
      </c>
      <c r="T402" s="2" t="s">
        <v>86</v>
      </c>
      <c r="U402" s="2" t="s">
        <v>86</v>
      </c>
      <c r="V402" s="2" t="s">
        <v>86</v>
      </c>
      <c r="W402" s="2" t="s">
        <v>80</v>
      </c>
      <c r="X402" s="4">
        <v>24</v>
      </c>
      <c r="Y402" s="4">
        <v>1</v>
      </c>
      <c r="Z402" s="4">
        <v>1</v>
      </c>
      <c r="AA402" s="4">
        <v>0</v>
      </c>
      <c r="AB402" s="4">
        <v>3</v>
      </c>
      <c r="AC402" s="2" t="s">
        <v>7285</v>
      </c>
      <c r="AD402" s="2" t="s">
        <v>5596</v>
      </c>
      <c r="AE402" s="2" t="s">
        <v>7286</v>
      </c>
      <c r="AF402" s="2" t="s">
        <v>7287</v>
      </c>
      <c r="AG402" s="2" t="s">
        <v>86</v>
      </c>
      <c r="AH402" s="2" t="s">
        <v>86</v>
      </c>
      <c r="AI402" s="2" t="s">
        <v>7288</v>
      </c>
      <c r="AJ402" s="2" t="s">
        <v>7289</v>
      </c>
      <c r="AK402" s="2" t="s">
        <v>86</v>
      </c>
      <c r="AL402" s="4">
        <v>2010</v>
      </c>
      <c r="AM402" s="4">
        <v>9</v>
      </c>
      <c r="AN402" s="4">
        <v>23</v>
      </c>
      <c r="AO402" s="2" t="s">
        <v>86</v>
      </c>
      <c r="AP402" s="2" t="s">
        <v>86</v>
      </c>
      <c r="AQ402" s="2" t="s">
        <v>86</v>
      </c>
      <c r="AR402" s="2" t="s">
        <v>86</v>
      </c>
      <c r="AS402" s="4">
        <v>2982</v>
      </c>
      <c r="AT402" s="4">
        <v>2985</v>
      </c>
      <c r="AU402" s="2" t="s">
        <v>86</v>
      </c>
      <c r="AV402" s="2" t="s">
        <v>86</v>
      </c>
      <c r="AW402" s="2" t="s">
        <v>86</v>
      </c>
      <c r="AX402" s="4">
        <v>4</v>
      </c>
      <c r="AY402" s="2" t="s">
        <v>1881</v>
      </c>
      <c r="AZ402" s="2" t="s">
        <v>92</v>
      </c>
      <c r="BA402" s="2" t="s">
        <v>1881</v>
      </c>
      <c r="BB402" s="2" t="s">
        <v>7290</v>
      </c>
      <c r="BC402" s="2" t="s">
        <v>86</v>
      </c>
      <c r="BD402" s="2" t="s">
        <v>1491</v>
      </c>
      <c r="BE402" s="2" t="s">
        <v>86</v>
      </c>
      <c r="BF402" s="2" t="s">
        <v>86</v>
      </c>
      <c r="BG402" s="2" t="s">
        <v>95</v>
      </c>
      <c r="BH402" s="2" t="s">
        <v>7291</v>
      </c>
      <c r="BI402" s="2" t="str">
        <f>HYPERLINK("https%3A%2F%2Fwww.webofscience.com%2Fwos%2Fwoscc%2Ffull-record%2FWOS:000284784500016","View Full Record in Web of Science")</f>
        <v>View Full Record in Web of Science</v>
      </c>
    </row>
    <row r="403" spans="1:61" customFormat="1" ht="12.75" x14ac:dyDescent="0.2">
      <c r="A403" s="1">
        <v>400</v>
      </c>
      <c r="B403" s="1" t="s">
        <v>1068</v>
      </c>
      <c r="C403" s="1" t="s">
        <v>7292</v>
      </c>
      <c r="D403" s="2" t="s">
        <v>7293</v>
      </c>
      <c r="E403" s="2" t="s">
        <v>7294</v>
      </c>
      <c r="F403" s="3" t="str">
        <f>HYPERLINK("http://dx.doi.org/10.1016/j.apsusc.2012.08.100","http://dx.doi.org/10.1016/j.apsusc.2012.08.100")</f>
        <v>http://dx.doi.org/10.1016/j.apsusc.2012.08.100</v>
      </c>
      <c r="G403" s="2" t="s">
        <v>200</v>
      </c>
      <c r="H403" s="2" t="s">
        <v>7295</v>
      </c>
      <c r="I403" s="2" t="s">
        <v>7296</v>
      </c>
      <c r="J403" s="2" t="s">
        <v>7297</v>
      </c>
      <c r="K403" s="2" t="s">
        <v>68</v>
      </c>
      <c r="L403" s="2" t="s">
        <v>7298</v>
      </c>
      <c r="M403" s="2" t="s">
        <v>7299</v>
      </c>
      <c r="N403" s="2" t="s">
        <v>7300</v>
      </c>
      <c r="O403" s="2" t="s">
        <v>7301</v>
      </c>
      <c r="P403" s="2" t="s">
        <v>7302</v>
      </c>
      <c r="Q403" s="2" t="s">
        <v>7303</v>
      </c>
      <c r="R403" s="2" t="s">
        <v>7304</v>
      </c>
      <c r="S403" s="2" t="s">
        <v>7305</v>
      </c>
      <c r="T403" s="2" t="s">
        <v>86</v>
      </c>
      <c r="U403" s="2" t="s">
        <v>86</v>
      </c>
      <c r="V403" s="2" t="s">
        <v>86</v>
      </c>
      <c r="W403" s="2" t="s">
        <v>80</v>
      </c>
      <c r="X403" s="4">
        <v>21</v>
      </c>
      <c r="Y403" s="4">
        <v>16</v>
      </c>
      <c r="Z403" s="4">
        <v>16</v>
      </c>
      <c r="AA403" s="4">
        <v>0</v>
      </c>
      <c r="AB403" s="4">
        <v>37</v>
      </c>
      <c r="AC403" s="2" t="s">
        <v>4555</v>
      </c>
      <c r="AD403" s="2" t="s">
        <v>586</v>
      </c>
      <c r="AE403" s="2" t="s">
        <v>4556</v>
      </c>
      <c r="AF403" s="2" t="s">
        <v>7306</v>
      </c>
      <c r="AG403" s="2" t="s">
        <v>86</v>
      </c>
      <c r="AH403" s="2" t="s">
        <v>86</v>
      </c>
      <c r="AI403" s="2" t="s">
        <v>7307</v>
      </c>
      <c r="AJ403" s="2" t="s">
        <v>7308</v>
      </c>
      <c r="AK403" s="2" t="s">
        <v>1574</v>
      </c>
      <c r="AL403" s="4">
        <v>2012</v>
      </c>
      <c r="AM403" s="4">
        <v>261</v>
      </c>
      <c r="AN403" s="2" t="s">
        <v>86</v>
      </c>
      <c r="AO403" s="2" t="s">
        <v>86</v>
      </c>
      <c r="AP403" s="2" t="s">
        <v>86</v>
      </c>
      <c r="AQ403" s="2" t="s">
        <v>86</v>
      </c>
      <c r="AR403" s="2" t="s">
        <v>86</v>
      </c>
      <c r="AS403" s="4">
        <v>783</v>
      </c>
      <c r="AT403" s="4">
        <v>788</v>
      </c>
      <c r="AU403" s="2" t="s">
        <v>86</v>
      </c>
      <c r="AV403" s="2" t="s">
        <v>86</v>
      </c>
      <c r="AW403" s="2" t="s">
        <v>86</v>
      </c>
      <c r="AX403" s="4">
        <v>6</v>
      </c>
      <c r="AY403" s="2" t="s">
        <v>7309</v>
      </c>
      <c r="AZ403" s="2" t="s">
        <v>92</v>
      </c>
      <c r="BA403" s="2" t="s">
        <v>7310</v>
      </c>
      <c r="BB403" s="2" t="s">
        <v>7311</v>
      </c>
      <c r="BC403" s="2" t="s">
        <v>86</v>
      </c>
      <c r="BD403" s="2" t="s">
        <v>877</v>
      </c>
      <c r="BE403" s="2" t="s">
        <v>86</v>
      </c>
      <c r="BF403" s="2" t="s">
        <v>86</v>
      </c>
      <c r="BG403" s="2" t="s">
        <v>95</v>
      </c>
      <c r="BH403" s="2" t="s">
        <v>7312</v>
      </c>
      <c r="BI403" s="2" t="str">
        <f>HYPERLINK("https%3A%2F%2Fwww.webofscience.com%2Fwos%2Fwoscc%2Ffull-record%2FWOS:000310442500120","View Full Record in Web of Science")</f>
        <v>View Full Record in Web of Science</v>
      </c>
    </row>
    <row r="404" spans="1:61" customFormat="1" ht="12.75" x14ac:dyDescent="0.2">
      <c r="A404" s="1">
        <v>401</v>
      </c>
      <c r="B404" s="1" t="s">
        <v>1068</v>
      </c>
      <c r="C404" s="1" t="s">
        <v>7313</v>
      </c>
      <c r="D404" s="2" t="s">
        <v>7314</v>
      </c>
      <c r="E404" s="2" t="s">
        <v>7315</v>
      </c>
      <c r="F404" s="3" t="str">
        <f>HYPERLINK("http://dx.doi.org/10.1007/s13197-021-05180-8","http://dx.doi.org/10.1007/s13197-021-05180-8")</f>
        <v>http://dx.doi.org/10.1007/s13197-021-05180-8</v>
      </c>
      <c r="G404" s="2" t="s">
        <v>200</v>
      </c>
      <c r="H404" s="2" t="s">
        <v>7316</v>
      </c>
      <c r="I404" s="2" t="s">
        <v>7317</v>
      </c>
      <c r="J404" s="2" t="s">
        <v>7318</v>
      </c>
      <c r="K404" s="2" t="s">
        <v>68</v>
      </c>
      <c r="L404" s="2" t="s">
        <v>7319</v>
      </c>
      <c r="M404" s="2" t="s">
        <v>7320</v>
      </c>
      <c r="N404" s="2" t="s">
        <v>7321</v>
      </c>
      <c r="O404" s="2" t="s">
        <v>7322</v>
      </c>
      <c r="P404" s="2" t="s">
        <v>7323</v>
      </c>
      <c r="Q404" s="2" t="s">
        <v>7324</v>
      </c>
      <c r="R404" s="2" t="s">
        <v>7325</v>
      </c>
      <c r="S404" s="2" t="s">
        <v>7326</v>
      </c>
      <c r="T404" s="2" t="s">
        <v>7327</v>
      </c>
      <c r="U404" s="2" t="s">
        <v>434</v>
      </c>
      <c r="V404" s="2" t="s">
        <v>7328</v>
      </c>
      <c r="W404" s="2" t="s">
        <v>80</v>
      </c>
      <c r="X404" s="4">
        <v>36</v>
      </c>
      <c r="Y404" s="4">
        <v>4</v>
      </c>
      <c r="Z404" s="4">
        <v>4</v>
      </c>
      <c r="AA404" s="4">
        <v>2</v>
      </c>
      <c r="AB404" s="4">
        <v>12</v>
      </c>
      <c r="AC404" s="2" t="s">
        <v>7329</v>
      </c>
      <c r="AD404" s="2" t="s">
        <v>1084</v>
      </c>
      <c r="AE404" s="2" t="s">
        <v>7330</v>
      </c>
      <c r="AF404" s="2" t="s">
        <v>7331</v>
      </c>
      <c r="AG404" s="2" t="s">
        <v>7332</v>
      </c>
      <c r="AH404" s="2" t="s">
        <v>86</v>
      </c>
      <c r="AI404" s="2" t="s">
        <v>7333</v>
      </c>
      <c r="AJ404" s="2" t="s">
        <v>7334</v>
      </c>
      <c r="AK404" s="2" t="s">
        <v>1220</v>
      </c>
      <c r="AL404" s="4">
        <v>2022</v>
      </c>
      <c r="AM404" s="4">
        <v>59</v>
      </c>
      <c r="AN404" s="4">
        <v>5</v>
      </c>
      <c r="AO404" s="2" t="s">
        <v>86</v>
      </c>
      <c r="AP404" s="2" t="s">
        <v>86</v>
      </c>
      <c r="AQ404" s="2" t="s">
        <v>86</v>
      </c>
      <c r="AR404" s="2" t="s">
        <v>86</v>
      </c>
      <c r="AS404" s="4">
        <v>1704</v>
      </c>
      <c r="AT404" s="4">
        <v>1714</v>
      </c>
      <c r="AU404" s="2" t="s">
        <v>86</v>
      </c>
      <c r="AV404" s="2" t="s">
        <v>86</v>
      </c>
      <c r="AW404" s="2" t="s">
        <v>827</v>
      </c>
      <c r="AX404" s="4">
        <v>11</v>
      </c>
      <c r="AY404" s="2" t="s">
        <v>965</v>
      </c>
      <c r="AZ404" s="2" t="s">
        <v>92</v>
      </c>
      <c r="BA404" s="2" t="s">
        <v>965</v>
      </c>
      <c r="BB404" s="2" t="s">
        <v>7335</v>
      </c>
      <c r="BC404" s="4">
        <v>35531394</v>
      </c>
      <c r="BD404" s="2" t="s">
        <v>877</v>
      </c>
      <c r="BE404" s="2" t="s">
        <v>86</v>
      </c>
      <c r="BF404" s="2" t="s">
        <v>86</v>
      </c>
      <c r="BG404" s="2" t="s">
        <v>95</v>
      </c>
      <c r="BH404" s="2" t="s">
        <v>7336</v>
      </c>
      <c r="BI404" s="2" t="str">
        <f>HYPERLINK("https%3A%2F%2Fwww.webofscience.com%2Fwos%2Fwoscc%2Ffull-record%2FWOS:000663237500001","View Full Record in Web of Science")</f>
        <v>View Full Record in Web of Science</v>
      </c>
    </row>
    <row r="405" spans="1:61" customFormat="1" ht="12.75" x14ac:dyDescent="0.2">
      <c r="A405" s="1">
        <v>402</v>
      </c>
      <c r="B405" s="1" t="s">
        <v>1068</v>
      </c>
      <c r="C405" s="1" t="s">
        <v>7337</v>
      </c>
      <c r="D405" s="2" t="s">
        <v>7338</v>
      </c>
      <c r="E405" s="2" t="s">
        <v>7339</v>
      </c>
      <c r="F405" s="3" t="str">
        <f>HYPERLINK("http://dx.doi.org/10.1002/pc.21094","http://dx.doi.org/10.1002/pc.21094")</f>
        <v>http://dx.doi.org/10.1002/pc.21094</v>
      </c>
      <c r="G405" s="2" t="s">
        <v>200</v>
      </c>
      <c r="H405" s="2" t="s">
        <v>7340</v>
      </c>
      <c r="I405" s="2" t="s">
        <v>7341</v>
      </c>
      <c r="J405" s="2" t="s">
        <v>4949</v>
      </c>
      <c r="K405" s="2" t="s">
        <v>68</v>
      </c>
      <c r="L405" s="2" t="s">
        <v>86</v>
      </c>
      <c r="M405" s="2" t="s">
        <v>7342</v>
      </c>
      <c r="N405" s="2" t="s">
        <v>7343</v>
      </c>
      <c r="O405" s="2" t="s">
        <v>7344</v>
      </c>
      <c r="P405" s="2" t="s">
        <v>6424</v>
      </c>
      <c r="Q405" s="2" t="s">
        <v>6425</v>
      </c>
      <c r="R405" s="2" t="s">
        <v>7345</v>
      </c>
      <c r="S405" s="2" t="s">
        <v>7346</v>
      </c>
      <c r="T405" s="2" t="s">
        <v>6426</v>
      </c>
      <c r="U405" s="2" t="s">
        <v>6427</v>
      </c>
      <c r="V405" s="2" t="s">
        <v>7347</v>
      </c>
      <c r="W405" s="2" t="s">
        <v>80</v>
      </c>
      <c r="X405" s="4">
        <v>81</v>
      </c>
      <c r="Y405" s="4">
        <v>2</v>
      </c>
      <c r="Z405" s="4">
        <v>2</v>
      </c>
      <c r="AA405" s="4">
        <v>0</v>
      </c>
      <c r="AB405" s="4">
        <v>37</v>
      </c>
      <c r="AC405" s="2" t="s">
        <v>5911</v>
      </c>
      <c r="AD405" s="2" t="s">
        <v>7348</v>
      </c>
      <c r="AE405" s="2" t="s">
        <v>7349</v>
      </c>
      <c r="AF405" s="2" t="s">
        <v>4960</v>
      </c>
      <c r="AG405" s="2" t="s">
        <v>86</v>
      </c>
      <c r="AH405" s="2" t="s">
        <v>86</v>
      </c>
      <c r="AI405" s="2" t="s">
        <v>4962</v>
      </c>
      <c r="AJ405" s="2" t="s">
        <v>4963</v>
      </c>
      <c r="AK405" s="2" t="s">
        <v>342</v>
      </c>
      <c r="AL405" s="4">
        <v>2011</v>
      </c>
      <c r="AM405" s="4">
        <v>32</v>
      </c>
      <c r="AN405" s="4">
        <v>6</v>
      </c>
      <c r="AO405" s="2" t="s">
        <v>86</v>
      </c>
      <c r="AP405" s="2" t="s">
        <v>86</v>
      </c>
      <c r="AQ405" s="2" t="s">
        <v>86</v>
      </c>
      <c r="AR405" s="2" t="s">
        <v>86</v>
      </c>
      <c r="AS405" s="4">
        <v>869</v>
      </c>
      <c r="AT405" s="4">
        <v>881</v>
      </c>
      <c r="AU405" s="2" t="s">
        <v>86</v>
      </c>
      <c r="AV405" s="2" t="s">
        <v>86</v>
      </c>
      <c r="AW405" s="2" t="s">
        <v>86</v>
      </c>
      <c r="AX405" s="4">
        <v>13</v>
      </c>
      <c r="AY405" s="2" t="s">
        <v>4964</v>
      </c>
      <c r="AZ405" s="2" t="s">
        <v>92</v>
      </c>
      <c r="BA405" s="2" t="s">
        <v>4304</v>
      </c>
      <c r="BB405" s="2" t="s">
        <v>6248</v>
      </c>
      <c r="BC405" s="2" t="s">
        <v>86</v>
      </c>
      <c r="BD405" s="2" t="s">
        <v>86</v>
      </c>
      <c r="BE405" s="2" t="s">
        <v>86</v>
      </c>
      <c r="BF405" s="2" t="s">
        <v>86</v>
      </c>
      <c r="BG405" s="2" t="s">
        <v>95</v>
      </c>
      <c r="BH405" s="2" t="s">
        <v>7350</v>
      </c>
      <c r="BI405" s="2" t="str">
        <f>HYPERLINK("https%3A%2F%2Fwww.webofscience.com%2Fwos%2Fwoscc%2Ffull-record%2FWOS:000290478600002","View Full Record in Web of Science")</f>
        <v>View Full Record in Web of Science</v>
      </c>
    </row>
    <row r="406" spans="1:61" customFormat="1" ht="12.75" x14ac:dyDescent="0.2">
      <c r="A406" s="1">
        <v>403</v>
      </c>
      <c r="B406" s="1" t="s">
        <v>1068</v>
      </c>
      <c r="C406" s="1" t="s">
        <v>7351</v>
      </c>
      <c r="D406" s="2" t="s">
        <v>7352</v>
      </c>
      <c r="E406" s="2" t="s">
        <v>7353</v>
      </c>
      <c r="F406" s="3" t="str">
        <f>HYPERLINK("http://dx.doi.org/10.1007/s11356-021-16527-1","http://dx.doi.org/10.1007/s11356-021-16527-1")</f>
        <v>http://dx.doi.org/10.1007/s11356-021-16527-1</v>
      </c>
      <c r="G406" s="2" t="s">
        <v>200</v>
      </c>
      <c r="H406" s="2" t="s">
        <v>7354</v>
      </c>
      <c r="I406" s="2" t="s">
        <v>7355</v>
      </c>
      <c r="J406" s="2" t="s">
        <v>67</v>
      </c>
      <c r="K406" s="2" t="s">
        <v>68</v>
      </c>
      <c r="L406" s="2" t="s">
        <v>7356</v>
      </c>
      <c r="M406" s="2" t="s">
        <v>7357</v>
      </c>
      <c r="N406" s="2" t="s">
        <v>7358</v>
      </c>
      <c r="O406" s="2" t="s">
        <v>7359</v>
      </c>
      <c r="P406" s="2" t="s">
        <v>7360</v>
      </c>
      <c r="Q406" s="2" t="s">
        <v>7361</v>
      </c>
      <c r="R406" s="2" t="s">
        <v>86</v>
      </c>
      <c r="S406" s="2" t="s">
        <v>86</v>
      </c>
      <c r="T406" s="2" t="s">
        <v>7362</v>
      </c>
      <c r="U406" s="2" t="s">
        <v>7363</v>
      </c>
      <c r="V406" s="2" t="s">
        <v>7364</v>
      </c>
      <c r="W406" s="2" t="s">
        <v>80</v>
      </c>
      <c r="X406" s="4">
        <v>69</v>
      </c>
      <c r="Y406" s="4">
        <v>1</v>
      </c>
      <c r="Z406" s="4">
        <v>1</v>
      </c>
      <c r="AA406" s="4">
        <v>1</v>
      </c>
      <c r="AB406" s="4">
        <v>22</v>
      </c>
      <c r="AC406" s="2" t="s">
        <v>81</v>
      </c>
      <c r="AD406" s="2" t="s">
        <v>82</v>
      </c>
      <c r="AE406" s="2" t="s">
        <v>83</v>
      </c>
      <c r="AF406" s="2" t="s">
        <v>84</v>
      </c>
      <c r="AG406" s="2" t="s">
        <v>85</v>
      </c>
      <c r="AH406" s="2" t="s">
        <v>86</v>
      </c>
      <c r="AI406" s="2" t="s">
        <v>87</v>
      </c>
      <c r="AJ406" s="2" t="s">
        <v>88</v>
      </c>
      <c r="AK406" s="2" t="s">
        <v>146</v>
      </c>
      <c r="AL406" s="4">
        <v>2022</v>
      </c>
      <c r="AM406" s="4">
        <v>29</v>
      </c>
      <c r="AN406" s="4">
        <v>10</v>
      </c>
      <c r="AO406" s="2" t="s">
        <v>86</v>
      </c>
      <c r="AP406" s="2" t="s">
        <v>86</v>
      </c>
      <c r="AQ406" s="2" t="s">
        <v>86</v>
      </c>
      <c r="AR406" s="2" t="s">
        <v>86</v>
      </c>
      <c r="AS406" s="4">
        <v>14767</v>
      </c>
      <c r="AT406" s="4">
        <v>14779</v>
      </c>
      <c r="AU406" s="2" t="s">
        <v>86</v>
      </c>
      <c r="AV406" s="2" t="s">
        <v>86</v>
      </c>
      <c r="AW406" s="2" t="s">
        <v>242</v>
      </c>
      <c r="AX406" s="4">
        <v>13</v>
      </c>
      <c r="AY406" s="2" t="s">
        <v>91</v>
      </c>
      <c r="AZ406" s="2" t="s">
        <v>92</v>
      </c>
      <c r="BA406" s="2" t="s">
        <v>93</v>
      </c>
      <c r="BB406" s="2" t="s">
        <v>7365</v>
      </c>
      <c r="BC406" s="4">
        <v>34617235</v>
      </c>
      <c r="BD406" s="2" t="s">
        <v>86</v>
      </c>
      <c r="BE406" s="2" t="s">
        <v>86</v>
      </c>
      <c r="BF406" s="2" t="s">
        <v>86</v>
      </c>
      <c r="BG406" s="2" t="s">
        <v>95</v>
      </c>
      <c r="BH406" s="2" t="s">
        <v>7366</v>
      </c>
      <c r="BI406" s="2" t="str">
        <f>HYPERLINK("https%3A%2F%2Fwww.webofscience.com%2Fwos%2Fwoscc%2Ffull-record%2FWOS:000705825500003","View Full Record in Web of Science")</f>
        <v>View Full Record in Web of Science</v>
      </c>
    </row>
    <row r="407" spans="1:61" customFormat="1" ht="12.75" x14ac:dyDescent="0.2">
      <c r="A407" s="1">
        <v>404</v>
      </c>
      <c r="B407" s="1" t="s">
        <v>1068</v>
      </c>
      <c r="C407" s="1" t="s">
        <v>7367</v>
      </c>
      <c r="D407" s="2" t="s">
        <v>7368</v>
      </c>
      <c r="E407" s="2" t="s">
        <v>7369</v>
      </c>
      <c r="F407" s="3" t="str">
        <f>HYPERLINK("http://dx.doi.org/10.5505/pajes.2018.80688","http://dx.doi.org/10.5505/pajes.2018.80688")</f>
        <v>http://dx.doi.org/10.5505/pajes.2018.80688</v>
      </c>
      <c r="G407" s="2" t="s">
        <v>200</v>
      </c>
      <c r="H407" s="2" t="s">
        <v>5072</v>
      </c>
      <c r="I407" s="2" t="s">
        <v>5073</v>
      </c>
      <c r="J407" s="2" t="s">
        <v>795</v>
      </c>
      <c r="K407" s="2" t="s">
        <v>68</v>
      </c>
      <c r="L407" s="2" t="s">
        <v>7370</v>
      </c>
      <c r="M407" s="2" t="s">
        <v>7371</v>
      </c>
      <c r="N407" s="2" t="s">
        <v>7372</v>
      </c>
      <c r="O407" s="2" t="s">
        <v>309</v>
      </c>
      <c r="P407" s="2" t="s">
        <v>7373</v>
      </c>
      <c r="Q407" s="2" t="s">
        <v>7374</v>
      </c>
      <c r="R407" s="2" t="s">
        <v>86</v>
      </c>
      <c r="S407" s="2" t="s">
        <v>5078</v>
      </c>
      <c r="T407" s="2" t="s">
        <v>86</v>
      </c>
      <c r="U407" s="2" t="s">
        <v>86</v>
      </c>
      <c r="V407" s="2" t="s">
        <v>86</v>
      </c>
      <c r="W407" s="2" t="s">
        <v>80</v>
      </c>
      <c r="X407" s="4">
        <v>35</v>
      </c>
      <c r="Y407" s="4">
        <v>2</v>
      </c>
      <c r="Z407" s="4">
        <v>2</v>
      </c>
      <c r="AA407" s="4">
        <v>1</v>
      </c>
      <c r="AB407" s="4">
        <v>14</v>
      </c>
      <c r="AC407" s="2" t="s">
        <v>801</v>
      </c>
      <c r="AD407" s="2" t="s">
        <v>802</v>
      </c>
      <c r="AE407" s="2" t="s">
        <v>803</v>
      </c>
      <c r="AF407" s="2" t="s">
        <v>804</v>
      </c>
      <c r="AG407" s="2" t="s">
        <v>805</v>
      </c>
      <c r="AH407" s="2" t="s">
        <v>86</v>
      </c>
      <c r="AI407" s="2" t="s">
        <v>806</v>
      </c>
      <c r="AJ407" s="2" t="s">
        <v>807</v>
      </c>
      <c r="AK407" s="2" t="s">
        <v>86</v>
      </c>
      <c r="AL407" s="4">
        <v>2019</v>
      </c>
      <c r="AM407" s="4">
        <v>25</v>
      </c>
      <c r="AN407" s="4">
        <v>3</v>
      </c>
      <c r="AO407" s="2" t="s">
        <v>86</v>
      </c>
      <c r="AP407" s="2" t="s">
        <v>86</v>
      </c>
      <c r="AQ407" s="2" t="s">
        <v>86</v>
      </c>
      <c r="AR407" s="2" t="s">
        <v>86</v>
      </c>
      <c r="AS407" s="4">
        <v>320</v>
      </c>
      <c r="AT407" s="4">
        <v>324</v>
      </c>
      <c r="AU407" s="2" t="s">
        <v>86</v>
      </c>
      <c r="AV407" s="2" t="s">
        <v>86</v>
      </c>
      <c r="AW407" s="2" t="s">
        <v>86</v>
      </c>
      <c r="AX407" s="4">
        <v>5</v>
      </c>
      <c r="AY407" s="2" t="s">
        <v>808</v>
      </c>
      <c r="AZ407" s="2" t="s">
        <v>171</v>
      </c>
      <c r="BA407" s="2" t="s">
        <v>345</v>
      </c>
      <c r="BB407" s="2" t="s">
        <v>7375</v>
      </c>
      <c r="BC407" s="2" t="s">
        <v>86</v>
      </c>
      <c r="BD407" s="2" t="s">
        <v>1182</v>
      </c>
      <c r="BE407" s="2" t="s">
        <v>86</v>
      </c>
      <c r="BF407" s="2" t="s">
        <v>86</v>
      </c>
      <c r="BG407" s="2" t="s">
        <v>95</v>
      </c>
      <c r="BH407" s="2" t="s">
        <v>7376</v>
      </c>
      <c r="BI407" s="2" t="str">
        <f>HYPERLINK("https%3A%2F%2Fwww.webofscience.com%2Fwos%2Fwoscc%2Ffull-record%2FWOS:000472967800009","View Full Record in Web of Science")</f>
        <v>View Full Record in Web of Science</v>
      </c>
    </row>
    <row r="408" spans="1:61" customFormat="1" ht="12.75" x14ac:dyDescent="0.2">
      <c r="A408" s="1">
        <v>405</v>
      </c>
      <c r="B408" s="1" t="s">
        <v>1068</v>
      </c>
      <c r="C408" s="1" t="s">
        <v>7377</v>
      </c>
      <c r="D408" s="2" t="s">
        <v>7378</v>
      </c>
      <c r="E408" s="2" t="s">
        <v>7379</v>
      </c>
      <c r="F408" s="3" t="str">
        <f>HYPERLINK("http://dx.doi.org/10.1016/j.polymertesting.2011.06.007","http://dx.doi.org/10.1016/j.polymertesting.2011.06.007")</f>
        <v>http://dx.doi.org/10.1016/j.polymertesting.2011.06.007</v>
      </c>
      <c r="G408" s="2" t="s">
        <v>200</v>
      </c>
      <c r="H408" s="2" t="s">
        <v>7380</v>
      </c>
      <c r="I408" s="2" t="s">
        <v>7381</v>
      </c>
      <c r="J408" s="2" t="s">
        <v>6942</v>
      </c>
      <c r="K408" s="2" t="s">
        <v>68</v>
      </c>
      <c r="L408" s="2" t="s">
        <v>7382</v>
      </c>
      <c r="M408" s="2" t="s">
        <v>7383</v>
      </c>
      <c r="N408" s="2" t="s">
        <v>7384</v>
      </c>
      <c r="O408" s="2" t="s">
        <v>7385</v>
      </c>
      <c r="P408" s="2" t="s">
        <v>7386</v>
      </c>
      <c r="Q408" s="2" t="s">
        <v>7387</v>
      </c>
      <c r="R408" s="2" t="s">
        <v>7388</v>
      </c>
      <c r="S408" s="2" t="s">
        <v>7389</v>
      </c>
      <c r="T408" s="2" t="s">
        <v>7390</v>
      </c>
      <c r="U408" s="2" t="s">
        <v>7391</v>
      </c>
      <c r="V408" s="2" t="s">
        <v>7392</v>
      </c>
      <c r="W408" s="2" t="s">
        <v>80</v>
      </c>
      <c r="X408" s="4">
        <v>20</v>
      </c>
      <c r="Y408" s="4">
        <v>13</v>
      </c>
      <c r="Z408" s="4">
        <v>15</v>
      </c>
      <c r="AA408" s="4">
        <v>2</v>
      </c>
      <c r="AB408" s="4">
        <v>39</v>
      </c>
      <c r="AC408" s="2" t="s">
        <v>114</v>
      </c>
      <c r="AD408" s="2" t="s">
        <v>115</v>
      </c>
      <c r="AE408" s="2" t="s">
        <v>116</v>
      </c>
      <c r="AF408" s="2" t="s">
        <v>6954</v>
      </c>
      <c r="AG408" s="2" t="s">
        <v>86</v>
      </c>
      <c r="AH408" s="2" t="s">
        <v>86</v>
      </c>
      <c r="AI408" s="2" t="s">
        <v>6956</v>
      </c>
      <c r="AJ408" s="2" t="s">
        <v>6957</v>
      </c>
      <c r="AK408" s="2" t="s">
        <v>873</v>
      </c>
      <c r="AL408" s="4">
        <v>2011</v>
      </c>
      <c r="AM408" s="4">
        <v>30</v>
      </c>
      <c r="AN408" s="4">
        <v>7</v>
      </c>
      <c r="AO408" s="2" t="s">
        <v>86</v>
      </c>
      <c r="AP408" s="2" t="s">
        <v>86</v>
      </c>
      <c r="AQ408" s="2" t="s">
        <v>86</v>
      </c>
      <c r="AR408" s="2" t="s">
        <v>86</v>
      </c>
      <c r="AS408" s="4">
        <v>773</v>
      </c>
      <c r="AT408" s="4">
        <v>778</v>
      </c>
      <c r="AU408" s="2" t="s">
        <v>86</v>
      </c>
      <c r="AV408" s="2" t="s">
        <v>86</v>
      </c>
      <c r="AW408" s="2" t="s">
        <v>86</v>
      </c>
      <c r="AX408" s="4">
        <v>6</v>
      </c>
      <c r="AY408" s="2" t="s">
        <v>6958</v>
      </c>
      <c r="AZ408" s="2" t="s">
        <v>92</v>
      </c>
      <c r="BA408" s="2" t="s">
        <v>4304</v>
      </c>
      <c r="BB408" s="2" t="s">
        <v>7393</v>
      </c>
      <c r="BC408" s="2" t="s">
        <v>86</v>
      </c>
      <c r="BD408" s="2" t="s">
        <v>7394</v>
      </c>
      <c r="BE408" s="2" t="s">
        <v>86</v>
      </c>
      <c r="BF408" s="2" t="s">
        <v>86</v>
      </c>
      <c r="BG408" s="2" t="s">
        <v>95</v>
      </c>
      <c r="BH408" s="2" t="s">
        <v>7395</v>
      </c>
      <c r="BI408" s="2" t="str">
        <f>HYPERLINK("https%3A%2F%2Fwww.webofscience.com%2Fwos%2Fwoscc%2Ffull-record%2FWOS:000295244200013","View Full Record in Web of Science")</f>
        <v>View Full Record in Web of Science</v>
      </c>
    </row>
    <row r="409" spans="1:61" customFormat="1" ht="12.75" x14ac:dyDescent="0.2">
      <c r="A409" s="1">
        <v>406</v>
      </c>
      <c r="B409" s="1" t="s">
        <v>1068</v>
      </c>
      <c r="C409" s="1" t="s">
        <v>7396</v>
      </c>
      <c r="D409" s="2" t="s">
        <v>7397</v>
      </c>
      <c r="E409" s="2" t="s">
        <v>7398</v>
      </c>
      <c r="F409" s="3" t="str">
        <f>HYPERLINK("http://dx.doi.org/10.1595/205651320X15895565390677","http://dx.doi.org/10.1595/205651320X15895565390677")</f>
        <v>http://dx.doi.org/10.1595/205651320X15895565390677</v>
      </c>
      <c r="G409" s="2" t="s">
        <v>200</v>
      </c>
      <c r="H409" s="2" t="s">
        <v>7399</v>
      </c>
      <c r="I409" s="2" t="s">
        <v>7400</v>
      </c>
      <c r="J409" s="2" t="s">
        <v>7401</v>
      </c>
      <c r="K409" s="2" t="s">
        <v>68</v>
      </c>
      <c r="L409" s="2" t="s">
        <v>86</v>
      </c>
      <c r="M409" s="2" t="s">
        <v>7402</v>
      </c>
      <c r="N409" s="2" t="s">
        <v>7403</v>
      </c>
      <c r="O409" s="2" t="s">
        <v>2401</v>
      </c>
      <c r="P409" s="2" t="s">
        <v>7404</v>
      </c>
      <c r="Q409" s="2" t="s">
        <v>5015</v>
      </c>
      <c r="R409" s="2" t="s">
        <v>5016</v>
      </c>
      <c r="S409" s="2" t="s">
        <v>5017</v>
      </c>
      <c r="T409" s="2" t="s">
        <v>7405</v>
      </c>
      <c r="U409" s="2" t="s">
        <v>7406</v>
      </c>
      <c r="V409" s="2" t="s">
        <v>7407</v>
      </c>
      <c r="W409" s="2" t="s">
        <v>80</v>
      </c>
      <c r="X409" s="4">
        <v>38</v>
      </c>
      <c r="Y409" s="4">
        <v>1</v>
      </c>
      <c r="Z409" s="4">
        <v>1</v>
      </c>
      <c r="AA409" s="4">
        <v>1</v>
      </c>
      <c r="AB409" s="4">
        <v>4</v>
      </c>
      <c r="AC409" s="2" t="s">
        <v>7408</v>
      </c>
      <c r="AD409" s="2" t="s">
        <v>7409</v>
      </c>
      <c r="AE409" s="2" t="s">
        <v>7410</v>
      </c>
      <c r="AF409" s="2" t="s">
        <v>7411</v>
      </c>
      <c r="AG409" s="2" t="s">
        <v>86</v>
      </c>
      <c r="AH409" s="2" t="s">
        <v>86</v>
      </c>
      <c r="AI409" s="2" t="s">
        <v>7412</v>
      </c>
      <c r="AJ409" s="2" t="s">
        <v>7413</v>
      </c>
      <c r="AK409" s="2" t="s">
        <v>873</v>
      </c>
      <c r="AL409" s="4">
        <v>2020</v>
      </c>
      <c r="AM409" s="4">
        <v>64</v>
      </c>
      <c r="AN409" s="4">
        <v>4</v>
      </c>
      <c r="AO409" s="2" t="s">
        <v>86</v>
      </c>
      <c r="AP409" s="2" t="s">
        <v>86</v>
      </c>
      <c r="AQ409" s="2" t="s">
        <v>86</v>
      </c>
      <c r="AR409" s="2" t="s">
        <v>86</v>
      </c>
      <c r="AS409" s="4">
        <v>419</v>
      </c>
      <c r="AT409" s="4">
        <v>424</v>
      </c>
      <c r="AU409" s="2" t="s">
        <v>86</v>
      </c>
      <c r="AV409" s="2" t="s">
        <v>86</v>
      </c>
      <c r="AW409" s="2" t="s">
        <v>86</v>
      </c>
      <c r="AX409" s="4">
        <v>6</v>
      </c>
      <c r="AY409" s="2" t="s">
        <v>7414</v>
      </c>
      <c r="AZ409" s="2" t="s">
        <v>92</v>
      </c>
      <c r="BA409" s="2" t="s">
        <v>901</v>
      </c>
      <c r="BB409" s="2" t="s">
        <v>7415</v>
      </c>
      <c r="BC409" s="2" t="s">
        <v>86</v>
      </c>
      <c r="BD409" s="2" t="s">
        <v>321</v>
      </c>
      <c r="BE409" s="2" t="s">
        <v>86</v>
      </c>
      <c r="BF409" s="2" t="s">
        <v>86</v>
      </c>
      <c r="BG409" s="2" t="s">
        <v>95</v>
      </c>
      <c r="BH409" s="2" t="s">
        <v>7416</v>
      </c>
      <c r="BI409" s="2" t="str">
        <f>HYPERLINK("https%3A%2F%2Fwww.webofscience.com%2Fwos%2Fwoscc%2Ffull-record%2FWOS:000609875600003","View Full Record in Web of Science")</f>
        <v>View Full Record in Web of Science</v>
      </c>
    </row>
    <row r="410" spans="1:61" customFormat="1" ht="12.75" x14ac:dyDescent="0.2">
      <c r="A410" s="1">
        <v>407</v>
      </c>
      <c r="B410" s="1" t="s">
        <v>1068</v>
      </c>
      <c r="C410" s="1" t="s">
        <v>7417</v>
      </c>
      <c r="D410" s="2" t="s">
        <v>7418</v>
      </c>
      <c r="E410" s="2" t="s">
        <v>7419</v>
      </c>
      <c r="F410" s="3" t="str">
        <f>HYPERLINK("http://dx.doi.org/10.3906/biy-1807-181","http://dx.doi.org/10.3906/biy-1807-181")</f>
        <v>http://dx.doi.org/10.3906/biy-1807-181</v>
      </c>
      <c r="G410" s="2" t="s">
        <v>200</v>
      </c>
      <c r="H410" s="2" t="s">
        <v>7420</v>
      </c>
      <c r="I410" s="2" t="s">
        <v>7421</v>
      </c>
      <c r="J410" s="2" t="s">
        <v>7422</v>
      </c>
      <c r="K410" s="2" t="s">
        <v>68</v>
      </c>
      <c r="L410" s="2" t="s">
        <v>7423</v>
      </c>
      <c r="M410" s="2" t="s">
        <v>7424</v>
      </c>
      <c r="N410" s="2" t="s">
        <v>7425</v>
      </c>
      <c r="O410" s="2" t="s">
        <v>4393</v>
      </c>
      <c r="P410" s="2" t="s">
        <v>7426</v>
      </c>
      <c r="Q410" s="2" t="s">
        <v>7427</v>
      </c>
      <c r="R410" s="2" t="s">
        <v>7428</v>
      </c>
      <c r="S410" s="2" t="s">
        <v>7429</v>
      </c>
      <c r="T410" s="2" t="s">
        <v>86</v>
      </c>
      <c r="U410" s="2" t="s">
        <v>86</v>
      </c>
      <c r="V410" s="2" t="s">
        <v>86</v>
      </c>
      <c r="W410" s="2" t="s">
        <v>80</v>
      </c>
      <c r="X410" s="4">
        <v>81</v>
      </c>
      <c r="Y410" s="4">
        <v>6</v>
      </c>
      <c r="Z410" s="4">
        <v>6</v>
      </c>
      <c r="AA410" s="4">
        <v>2</v>
      </c>
      <c r="AB410" s="4">
        <v>23</v>
      </c>
      <c r="AC410" s="2" t="s">
        <v>2107</v>
      </c>
      <c r="AD410" s="2" t="s">
        <v>932</v>
      </c>
      <c r="AE410" s="2" t="s">
        <v>2108</v>
      </c>
      <c r="AF410" s="2" t="s">
        <v>7430</v>
      </c>
      <c r="AG410" s="2" t="s">
        <v>7431</v>
      </c>
      <c r="AH410" s="2" t="s">
        <v>86</v>
      </c>
      <c r="AI410" s="2" t="s">
        <v>7432</v>
      </c>
      <c r="AJ410" s="2" t="s">
        <v>7433</v>
      </c>
      <c r="AK410" s="2" t="s">
        <v>86</v>
      </c>
      <c r="AL410" s="4">
        <v>2019</v>
      </c>
      <c r="AM410" s="4">
        <v>43</v>
      </c>
      <c r="AN410" s="4">
        <v>1</v>
      </c>
      <c r="AO410" s="2" t="s">
        <v>86</v>
      </c>
      <c r="AP410" s="2" t="s">
        <v>86</v>
      </c>
      <c r="AQ410" s="2" t="s">
        <v>86</v>
      </c>
      <c r="AR410" s="2" t="s">
        <v>86</v>
      </c>
      <c r="AS410" s="4">
        <v>47</v>
      </c>
      <c r="AT410" s="4">
        <v>57</v>
      </c>
      <c r="AU410" s="2" t="s">
        <v>86</v>
      </c>
      <c r="AV410" s="2" t="s">
        <v>86</v>
      </c>
      <c r="AW410" s="2" t="s">
        <v>86</v>
      </c>
      <c r="AX410" s="4">
        <v>11</v>
      </c>
      <c r="AY410" s="2" t="s">
        <v>3178</v>
      </c>
      <c r="AZ410" s="2" t="s">
        <v>92</v>
      </c>
      <c r="BA410" s="2" t="s">
        <v>3179</v>
      </c>
      <c r="BB410" s="2" t="s">
        <v>7434</v>
      </c>
      <c r="BC410" s="4">
        <v>30930635</v>
      </c>
      <c r="BD410" s="2" t="s">
        <v>5177</v>
      </c>
      <c r="BE410" s="2" t="s">
        <v>86</v>
      </c>
      <c r="BF410" s="2" t="s">
        <v>86</v>
      </c>
      <c r="BG410" s="2" t="s">
        <v>95</v>
      </c>
      <c r="BH410" s="2" t="s">
        <v>7435</v>
      </c>
      <c r="BI410" s="2" t="str">
        <f>HYPERLINK("https%3A%2F%2Fwww.webofscience.com%2Fwos%2Fwoscc%2Ffull-record%2FWOS:000458059900006","View Full Record in Web of Science")</f>
        <v>View Full Record in Web of Science</v>
      </c>
    </row>
    <row r="411" spans="1:61" customFormat="1" ht="12.75" x14ac:dyDescent="0.2">
      <c r="A411" s="1">
        <v>408</v>
      </c>
      <c r="B411" s="1" t="s">
        <v>1068</v>
      </c>
      <c r="C411" s="1" t="s">
        <v>7436</v>
      </c>
      <c r="D411" s="2" t="s">
        <v>7437</v>
      </c>
      <c r="E411" s="2" t="s">
        <v>7438</v>
      </c>
      <c r="F411" s="3" t="str">
        <f>HYPERLINK("http://dx.doi.org/10.1007/s10854-017-6364-1","http://dx.doi.org/10.1007/s10854-017-6364-1")</f>
        <v>http://dx.doi.org/10.1007/s10854-017-6364-1</v>
      </c>
      <c r="G411" s="2" t="s">
        <v>200</v>
      </c>
      <c r="H411" s="2" t="s">
        <v>7439</v>
      </c>
      <c r="I411" s="2" t="s">
        <v>7440</v>
      </c>
      <c r="J411" s="2" t="s">
        <v>7441</v>
      </c>
      <c r="K411" s="2" t="s">
        <v>68</v>
      </c>
      <c r="L411" s="2" t="s">
        <v>86</v>
      </c>
      <c r="M411" s="2" t="s">
        <v>7442</v>
      </c>
      <c r="N411" s="2" t="s">
        <v>7443</v>
      </c>
      <c r="O411" s="2" t="s">
        <v>7444</v>
      </c>
      <c r="P411" s="2" t="s">
        <v>7445</v>
      </c>
      <c r="Q411" s="2" t="s">
        <v>7446</v>
      </c>
      <c r="R411" s="2" t="s">
        <v>7447</v>
      </c>
      <c r="S411" s="2" t="s">
        <v>86</v>
      </c>
      <c r="T411" s="2" t="s">
        <v>7448</v>
      </c>
      <c r="U411" s="2" t="s">
        <v>7449</v>
      </c>
      <c r="V411" s="2" t="s">
        <v>7450</v>
      </c>
      <c r="W411" s="2" t="s">
        <v>80</v>
      </c>
      <c r="X411" s="4">
        <v>44</v>
      </c>
      <c r="Y411" s="4">
        <v>28</v>
      </c>
      <c r="Z411" s="4">
        <v>30</v>
      </c>
      <c r="AA411" s="4">
        <v>1</v>
      </c>
      <c r="AB411" s="4">
        <v>79</v>
      </c>
      <c r="AC411" s="2" t="s">
        <v>139</v>
      </c>
      <c r="AD411" s="2" t="s">
        <v>140</v>
      </c>
      <c r="AE411" s="2" t="s">
        <v>141</v>
      </c>
      <c r="AF411" s="2" t="s">
        <v>7451</v>
      </c>
      <c r="AG411" s="2" t="s">
        <v>7452</v>
      </c>
      <c r="AH411" s="2" t="s">
        <v>86</v>
      </c>
      <c r="AI411" s="2" t="s">
        <v>7453</v>
      </c>
      <c r="AJ411" s="2" t="s">
        <v>7454</v>
      </c>
      <c r="AK411" s="2" t="s">
        <v>1220</v>
      </c>
      <c r="AL411" s="4">
        <v>2017</v>
      </c>
      <c r="AM411" s="4">
        <v>28</v>
      </c>
      <c r="AN411" s="4">
        <v>9</v>
      </c>
      <c r="AO411" s="2" t="s">
        <v>86</v>
      </c>
      <c r="AP411" s="2" t="s">
        <v>86</v>
      </c>
      <c r="AQ411" s="2" t="s">
        <v>86</v>
      </c>
      <c r="AR411" s="2" t="s">
        <v>86</v>
      </c>
      <c r="AS411" s="4">
        <v>6704</v>
      </c>
      <c r="AT411" s="4">
        <v>6711</v>
      </c>
      <c r="AU411" s="2" t="s">
        <v>86</v>
      </c>
      <c r="AV411" s="2" t="s">
        <v>86</v>
      </c>
      <c r="AW411" s="2" t="s">
        <v>86</v>
      </c>
      <c r="AX411" s="4">
        <v>8</v>
      </c>
      <c r="AY411" s="2" t="s">
        <v>874</v>
      </c>
      <c r="AZ411" s="2" t="s">
        <v>92</v>
      </c>
      <c r="BA411" s="2" t="s">
        <v>875</v>
      </c>
      <c r="BB411" s="2" t="s">
        <v>7455</v>
      </c>
      <c r="BC411" s="2" t="s">
        <v>86</v>
      </c>
      <c r="BD411" s="2" t="s">
        <v>86</v>
      </c>
      <c r="BE411" s="2" t="s">
        <v>86</v>
      </c>
      <c r="BF411" s="2" t="s">
        <v>86</v>
      </c>
      <c r="BG411" s="2" t="s">
        <v>95</v>
      </c>
      <c r="BH411" s="2" t="s">
        <v>7456</v>
      </c>
      <c r="BI411" s="2" t="str">
        <f>HYPERLINK("https%3A%2F%2Fwww.webofscience.com%2Fwos%2Fwoscc%2Ffull-record%2FWOS:000399709300044","View Full Record in Web of Science")</f>
        <v>View Full Record in Web of Science</v>
      </c>
    </row>
    <row r="412" spans="1:61" customFormat="1" ht="12.75" x14ac:dyDescent="0.2">
      <c r="A412" s="1">
        <v>409</v>
      </c>
      <c r="B412" s="1" t="s">
        <v>1068</v>
      </c>
      <c r="C412" s="1" t="s">
        <v>7457</v>
      </c>
      <c r="D412" s="2" t="s">
        <v>7458</v>
      </c>
      <c r="E412" s="2" t="s">
        <v>86</v>
      </c>
      <c r="F412" s="2" t="s">
        <v>86</v>
      </c>
      <c r="G412" s="2" t="s">
        <v>200</v>
      </c>
      <c r="H412" s="2" t="s">
        <v>7459</v>
      </c>
      <c r="I412" s="2" t="s">
        <v>7460</v>
      </c>
      <c r="J412" s="2" t="s">
        <v>7277</v>
      </c>
      <c r="K412" s="2" t="s">
        <v>68</v>
      </c>
      <c r="L412" s="2" t="s">
        <v>7461</v>
      </c>
      <c r="M412" s="2" t="s">
        <v>86</v>
      </c>
      <c r="N412" s="2" t="s">
        <v>7462</v>
      </c>
      <c r="O412" s="2" t="s">
        <v>7463</v>
      </c>
      <c r="P412" s="2" t="s">
        <v>7464</v>
      </c>
      <c r="Q412" s="2" t="s">
        <v>86</v>
      </c>
      <c r="R412" s="2" t="s">
        <v>86</v>
      </c>
      <c r="S412" s="2" t="s">
        <v>86</v>
      </c>
      <c r="T412" s="2" t="s">
        <v>86</v>
      </c>
      <c r="U412" s="2" t="s">
        <v>86</v>
      </c>
      <c r="V412" s="2" t="s">
        <v>86</v>
      </c>
      <c r="W412" s="2" t="s">
        <v>80</v>
      </c>
      <c r="X412" s="4">
        <v>22</v>
      </c>
      <c r="Y412" s="4">
        <v>10</v>
      </c>
      <c r="Z412" s="4">
        <v>10</v>
      </c>
      <c r="AA412" s="4">
        <v>0</v>
      </c>
      <c r="AB412" s="4">
        <v>3</v>
      </c>
      <c r="AC412" s="2" t="s">
        <v>7285</v>
      </c>
      <c r="AD412" s="2" t="s">
        <v>5596</v>
      </c>
      <c r="AE412" s="2" t="s">
        <v>7286</v>
      </c>
      <c r="AF412" s="2" t="s">
        <v>7287</v>
      </c>
      <c r="AG412" s="2" t="s">
        <v>7465</v>
      </c>
      <c r="AH412" s="2" t="s">
        <v>86</v>
      </c>
      <c r="AI412" s="2" t="s">
        <v>7288</v>
      </c>
      <c r="AJ412" s="2" t="s">
        <v>7289</v>
      </c>
      <c r="AK412" s="2" t="s">
        <v>86</v>
      </c>
      <c r="AL412" s="4">
        <v>2009</v>
      </c>
      <c r="AM412" s="4">
        <v>8</v>
      </c>
      <c r="AN412" s="4">
        <v>4</v>
      </c>
      <c r="AO412" s="2" t="s">
        <v>86</v>
      </c>
      <c r="AP412" s="2" t="s">
        <v>86</v>
      </c>
      <c r="AQ412" s="2" t="s">
        <v>86</v>
      </c>
      <c r="AR412" s="2" t="s">
        <v>86</v>
      </c>
      <c r="AS412" s="4">
        <v>711</v>
      </c>
      <c r="AT412" s="4">
        <v>714</v>
      </c>
      <c r="AU412" s="2" t="s">
        <v>86</v>
      </c>
      <c r="AV412" s="2" t="s">
        <v>86</v>
      </c>
      <c r="AW412" s="2" t="s">
        <v>86</v>
      </c>
      <c r="AX412" s="4">
        <v>4</v>
      </c>
      <c r="AY412" s="2" t="s">
        <v>1881</v>
      </c>
      <c r="AZ412" s="2" t="s">
        <v>92</v>
      </c>
      <c r="BA412" s="2" t="s">
        <v>1881</v>
      </c>
      <c r="BB412" s="2" t="s">
        <v>7466</v>
      </c>
      <c r="BC412" s="2" t="s">
        <v>86</v>
      </c>
      <c r="BD412" s="2" t="s">
        <v>86</v>
      </c>
      <c r="BE412" s="2" t="s">
        <v>86</v>
      </c>
      <c r="BF412" s="2" t="s">
        <v>86</v>
      </c>
      <c r="BG412" s="2" t="s">
        <v>95</v>
      </c>
      <c r="BH412" s="2" t="s">
        <v>7467</v>
      </c>
      <c r="BI412" s="2" t="str">
        <f>HYPERLINK("https%3A%2F%2Fwww.webofscience.com%2Fwos%2Fwoscc%2Ffull-record%2FWOS:000265888900020","View Full Record in Web of Science")</f>
        <v>View Full Record in Web of Science</v>
      </c>
    </row>
    <row r="413" spans="1:61" customFormat="1" ht="12.75" x14ac:dyDescent="0.2">
      <c r="A413" s="1">
        <v>410</v>
      </c>
      <c r="B413" s="1" t="s">
        <v>1068</v>
      </c>
      <c r="C413" s="1" t="s">
        <v>7468</v>
      </c>
      <c r="D413" s="2" t="s">
        <v>7469</v>
      </c>
      <c r="E413" s="2" t="s">
        <v>86</v>
      </c>
      <c r="F413" s="2" t="s">
        <v>86</v>
      </c>
      <c r="G413" s="2" t="s">
        <v>200</v>
      </c>
      <c r="H413" s="2" t="s">
        <v>7470</v>
      </c>
      <c r="I413" s="2" t="s">
        <v>7471</v>
      </c>
      <c r="J413" s="2" t="s">
        <v>7472</v>
      </c>
      <c r="K413" s="2" t="s">
        <v>68</v>
      </c>
      <c r="L413" s="2" t="s">
        <v>7473</v>
      </c>
      <c r="M413" s="2" t="s">
        <v>7474</v>
      </c>
      <c r="N413" s="2" t="s">
        <v>7475</v>
      </c>
      <c r="O413" s="2" t="s">
        <v>2984</v>
      </c>
      <c r="P413" s="2" t="s">
        <v>6716</v>
      </c>
      <c r="Q413" s="2" t="s">
        <v>6717</v>
      </c>
      <c r="R413" s="2" t="s">
        <v>86</v>
      </c>
      <c r="S413" s="2" t="s">
        <v>86</v>
      </c>
      <c r="T413" s="2" t="s">
        <v>86</v>
      </c>
      <c r="U413" s="2" t="s">
        <v>86</v>
      </c>
      <c r="V413" s="2" t="s">
        <v>86</v>
      </c>
      <c r="W413" s="2" t="s">
        <v>80</v>
      </c>
      <c r="X413" s="4">
        <v>41</v>
      </c>
      <c r="Y413" s="4">
        <v>0</v>
      </c>
      <c r="Z413" s="4">
        <v>0</v>
      </c>
      <c r="AA413" s="4">
        <v>1</v>
      </c>
      <c r="AB413" s="4">
        <v>5</v>
      </c>
      <c r="AC413" s="2" t="s">
        <v>7476</v>
      </c>
      <c r="AD413" s="2" t="s">
        <v>7477</v>
      </c>
      <c r="AE413" s="2" t="s">
        <v>7478</v>
      </c>
      <c r="AF413" s="2" t="s">
        <v>7479</v>
      </c>
      <c r="AG413" s="2" t="s">
        <v>86</v>
      </c>
      <c r="AH413" s="2" t="s">
        <v>86</v>
      </c>
      <c r="AI413" s="2" t="s">
        <v>7480</v>
      </c>
      <c r="AJ413" s="2" t="s">
        <v>7481</v>
      </c>
      <c r="AK413" s="2" t="s">
        <v>7482</v>
      </c>
      <c r="AL413" s="4">
        <v>2020</v>
      </c>
      <c r="AM413" s="4">
        <v>71</v>
      </c>
      <c r="AN413" s="4">
        <v>4</v>
      </c>
      <c r="AO413" s="2" t="s">
        <v>86</v>
      </c>
      <c r="AP413" s="2" t="s">
        <v>86</v>
      </c>
      <c r="AQ413" s="2" t="s">
        <v>86</v>
      </c>
      <c r="AR413" s="2" t="s">
        <v>86</v>
      </c>
      <c r="AS413" s="4">
        <v>2525</v>
      </c>
      <c r="AT413" s="4">
        <v>2530</v>
      </c>
      <c r="AU413" s="2" t="s">
        <v>86</v>
      </c>
      <c r="AV413" s="2" t="s">
        <v>86</v>
      </c>
      <c r="AW413" s="2" t="s">
        <v>86</v>
      </c>
      <c r="AX413" s="4">
        <v>6</v>
      </c>
      <c r="AY413" s="2" t="s">
        <v>1881</v>
      </c>
      <c r="AZ413" s="2" t="s">
        <v>92</v>
      </c>
      <c r="BA413" s="2" t="s">
        <v>1881</v>
      </c>
      <c r="BB413" s="2" t="s">
        <v>7483</v>
      </c>
      <c r="BC413" s="2" t="s">
        <v>86</v>
      </c>
      <c r="BD413" s="2" t="s">
        <v>7394</v>
      </c>
      <c r="BE413" s="2" t="s">
        <v>86</v>
      </c>
      <c r="BF413" s="2" t="s">
        <v>86</v>
      </c>
      <c r="BG413" s="2" t="s">
        <v>95</v>
      </c>
      <c r="BH413" s="2" t="s">
        <v>7484</v>
      </c>
      <c r="BI413" s="2" t="str">
        <f>HYPERLINK("https%3A%2F%2Fwww.webofscience.com%2Fwos%2Fwoscc%2Ffull-record%2FWOS:000613692200014","View Full Record in Web of Science")</f>
        <v>View Full Record in Web of Science</v>
      </c>
    </row>
    <row r="414" spans="1:61" customFormat="1" ht="12.75" x14ac:dyDescent="0.2">
      <c r="A414" s="1">
        <v>411</v>
      </c>
      <c r="B414" s="1" t="s">
        <v>1068</v>
      </c>
      <c r="C414" s="1" t="s">
        <v>7485</v>
      </c>
      <c r="D414" s="2" t="s">
        <v>7486</v>
      </c>
      <c r="E414" s="2" t="s">
        <v>7487</v>
      </c>
      <c r="F414" s="3" t="str">
        <f>HYPERLINK("http://dx.doi.org/10.1063/1.5041340","http://dx.doi.org/10.1063/1.5041340")</f>
        <v>http://dx.doi.org/10.1063/1.5041340</v>
      </c>
      <c r="G414" s="2" t="s">
        <v>200</v>
      </c>
      <c r="H414" s="2" t="s">
        <v>7488</v>
      </c>
      <c r="I414" s="2" t="s">
        <v>7489</v>
      </c>
      <c r="J414" s="2" t="s">
        <v>7490</v>
      </c>
      <c r="K414" s="2" t="s">
        <v>68</v>
      </c>
      <c r="L414" s="2" t="s">
        <v>86</v>
      </c>
      <c r="M414" s="2" t="s">
        <v>7491</v>
      </c>
      <c r="N414" s="2" t="s">
        <v>7492</v>
      </c>
      <c r="O414" s="2" t="s">
        <v>3149</v>
      </c>
      <c r="P414" s="2" t="s">
        <v>7493</v>
      </c>
      <c r="Q414" s="2" t="s">
        <v>7494</v>
      </c>
      <c r="R414" s="2" t="s">
        <v>7495</v>
      </c>
      <c r="S414" s="2" t="s">
        <v>7496</v>
      </c>
      <c r="T414" s="2" t="s">
        <v>7497</v>
      </c>
      <c r="U414" s="2" t="s">
        <v>434</v>
      </c>
      <c r="V414" s="2" t="s">
        <v>7498</v>
      </c>
      <c r="W414" s="2" t="s">
        <v>80</v>
      </c>
      <c r="X414" s="4">
        <v>42</v>
      </c>
      <c r="Y414" s="4">
        <v>4</v>
      </c>
      <c r="Z414" s="4">
        <v>4</v>
      </c>
      <c r="AA414" s="4">
        <v>0</v>
      </c>
      <c r="AB414" s="4">
        <v>28</v>
      </c>
      <c r="AC414" s="2" t="s">
        <v>6011</v>
      </c>
      <c r="AD414" s="2" t="s">
        <v>6012</v>
      </c>
      <c r="AE414" s="2" t="s">
        <v>6013</v>
      </c>
      <c r="AF414" s="2" t="s">
        <v>7499</v>
      </c>
      <c r="AG414" s="2" t="s">
        <v>7500</v>
      </c>
      <c r="AH414" s="2" t="s">
        <v>86</v>
      </c>
      <c r="AI414" s="2" t="s">
        <v>7501</v>
      </c>
      <c r="AJ414" s="2" t="s">
        <v>7502</v>
      </c>
      <c r="AK414" s="2" t="s">
        <v>7503</v>
      </c>
      <c r="AL414" s="4">
        <v>2018</v>
      </c>
      <c r="AM414" s="4">
        <v>124</v>
      </c>
      <c r="AN414" s="4">
        <v>18</v>
      </c>
      <c r="AO414" s="2" t="s">
        <v>86</v>
      </c>
      <c r="AP414" s="2" t="s">
        <v>86</v>
      </c>
      <c r="AQ414" s="2" t="s">
        <v>86</v>
      </c>
      <c r="AR414" s="2" t="s">
        <v>86</v>
      </c>
      <c r="AS414" s="2" t="s">
        <v>86</v>
      </c>
      <c r="AT414" s="2" t="s">
        <v>86</v>
      </c>
      <c r="AU414" s="4">
        <v>184301</v>
      </c>
      <c r="AV414" s="2" t="s">
        <v>86</v>
      </c>
      <c r="AW414" s="2" t="s">
        <v>86</v>
      </c>
      <c r="AX414" s="4">
        <v>9</v>
      </c>
      <c r="AY414" s="2" t="s">
        <v>7504</v>
      </c>
      <c r="AZ414" s="2" t="s">
        <v>92</v>
      </c>
      <c r="BA414" s="2" t="s">
        <v>2344</v>
      </c>
      <c r="BB414" s="2" t="s">
        <v>7505</v>
      </c>
      <c r="BC414" s="2" t="s">
        <v>86</v>
      </c>
      <c r="BD414" s="2" t="s">
        <v>86</v>
      </c>
      <c r="BE414" s="2" t="s">
        <v>86</v>
      </c>
      <c r="BF414" s="2" t="s">
        <v>86</v>
      </c>
      <c r="BG414" s="2" t="s">
        <v>95</v>
      </c>
      <c r="BH414" s="2" t="s">
        <v>7506</v>
      </c>
      <c r="BI414" s="2" t="str">
        <f>HYPERLINK("https%3A%2F%2Fwww.webofscience.com%2Fwos%2Fwoscc%2Ffull-record%2FWOS:000450213300013","View Full Record in Web of Science")</f>
        <v>View Full Record in Web of Science</v>
      </c>
    </row>
    <row r="415" spans="1:61" customFormat="1" ht="12.75" x14ac:dyDescent="0.2">
      <c r="A415" s="1">
        <v>412</v>
      </c>
      <c r="B415" s="1" t="s">
        <v>1068</v>
      </c>
      <c r="C415" s="1" t="s">
        <v>7507</v>
      </c>
      <c r="D415" s="2" t="s">
        <v>7508</v>
      </c>
      <c r="E415" s="2" t="s">
        <v>7509</v>
      </c>
      <c r="F415" s="3" t="str">
        <f>HYPERLINK("http://dx.doi.org/10.1016/j.tws.2011.10.016","http://dx.doi.org/10.1016/j.tws.2011.10.016")</f>
        <v>http://dx.doi.org/10.1016/j.tws.2011.10.016</v>
      </c>
      <c r="G415" s="2" t="s">
        <v>200</v>
      </c>
      <c r="H415" s="2" t="s">
        <v>7510</v>
      </c>
      <c r="I415" s="2" t="s">
        <v>7511</v>
      </c>
      <c r="J415" s="2" t="s">
        <v>7512</v>
      </c>
      <c r="K415" s="2" t="s">
        <v>68</v>
      </c>
      <c r="L415" s="2" t="s">
        <v>7513</v>
      </c>
      <c r="M415" s="2" t="s">
        <v>7514</v>
      </c>
      <c r="N415" s="2" t="s">
        <v>7515</v>
      </c>
      <c r="O415" s="2" t="s">
        <v>7516</v>
      </c>
      <c r="P415" s="2" t="s">
        <v>7517</v>
      </c>
      <c r="Q415" s="2" t="s">
        <v>7518</v>
      </c>
      <c r="R415" s="2" t="s">
        <v>7519</v>
      </c>
      <c r="S415" s="2" t="s">
        <v>7520</v>
      </c>
      <c r="T415" s="2" t="s">
        <v>7521</v>
      </c>
      <c r="U415" s="2" t="s">
        <v>7522</v>
      </c>
      <c r="V415" s="2" t="s">
        <v>7523</v>
      </c>
      <c r="W415" s="2" t="s">
        <v>80</v>
      </c>
      <c r="X415" s="4">
        <v>13</v>
      </c>
      <c r="Y415" s="4">
        <v>8</v>
      </c>
      <c r="Z415" s="4">
        <v>8</v>
      </c>
      <c r="AA415" s="4">
        <v>0</v>
      </c>
      <c r="AB415" s="4">
        <v>25</v>
      </c>
      <c r="AC415" s="2" t="s">
        <v>114</v>
      </c>
      <c r="AD415" s="2" t="s">
        <v>115</v>
      </c>
      <c r="AE415" s="2" t="s">
        <v>116</v>
      </c>
      <c r="AF415" s="2" t="s">
        <v>7524</v>
      </c>
      <c r="AG415" s="2" t="s">
        <v>7525</v>
      </c>
      <c r="AH415" s="2" t="s">
        <v>86</v>
      </c>
      <c r="AI415" s="2" t="s">
        <v>7526</v>
      </c>
      <c r="AJ415" s="2" t="s">
        <v>7527</v>
      </c>
      <c r="AK415" s="2" t="s">
        <v>146</v>
      </c>
      <c r="AL415" s="4">
        <v>2012</v>
      </c>
      <c r="AM415" s="4">
        <v>51</v>
      </c>
      <c r="AN415" s="2" t="s">
        <v>86</v>
      </c>
      <c r="AO415" s="2" t="s">
        <v>86</v>
      </c>
      <c r="AP415" s="2" t="s">
        <v>86</v>
      </c>
      <c r="AQ415" s="2" t="s">
        <v>86</v>
      </c>
      <c r="AR415" s="2" t="s">
        <v>86</v>
      </c>
      <c r="AS415" s="4">
        <v>1</v>
      </c>
      <c r="AT415" s="4">
        <v>9</v>
      </c>
      <c r="AU415" s="2" t="s">
        <v>86</v>
      </c>
      <c r="AV415" s="2" t="s">
        <v>86</v>
      </c>
      <c r="AW415" s="2" t="s">
        <v>86</v>
      </c>
      <c r="AX415" s="4">
        <v>9</v>
      </c>
      <c r="AY415" s="2" t="s">
        <v>7528</v>
      </c>
      <c r="AZ415" s="2" t="s">
        <v>92</v>
      </c>
      <c r="BA415" s="2" t="s">
        <v>7529</v>
      </c>
      <c r="BB415" s="2" t="s">
        <v>7530</v>
      </c>
      <c r="BC415" s="2" t="s">
        <v>86</v>
      </c>
      <c r="BD415" s="2" t="s">
        <v>86</v>
      </c>
      <c r="BE415" s="2" t="s">
        <v>86</v>
      </c>
      <c r="BF415" s="2" t="s">
        <v>86</v>
      </c>
      <c r="BG415" s="2" t="s">
        <v>95</v>
      </c>
      <c r="BH415" s="2" t="s">
        <v>7531</v>
      </c>
      <c r="BI415" s="2" t="str">
        <f>HYPERLINK("https%3A%2F%2Fwww.webofscience.com%2Fwos%2Fwoscc%2Ffull-record%2FWOS:000300650500001","View Full Record in Web of Science")</f>
        <v>View Full Record in Web of Science</v>
      </c>
    </row>
    <row r="416" spans="1:61" customFormat="1" ht="12.75" x14ac:dyDescent="0.2">
      <c r="A416" s="1">
        <v>413</v>
      </c>
      <c r="B416" s="1" t="s">
        <v>1068</v>
      </c>
      <c r="C416" s="1" t="s">
        <v>7532</v>
      </c>
      <c r="D416" s="2" t="s">
        <v>7533</v>
      </c>
      <c r="E416" s="2" t="s">
        <v>7534</v>
      </c>
      <c r="F416" s="3" t="str">
        <f>HYPERLINK("http://dx.doi.org/10.3390/foods9101438","http://dx.doi.org/10.3390/foods9101438")</f>
        <v>http://dx.doi.org/10.3390/foods9101438</v>
      </c>
      <c r="G416" s="2" t="s">
        <v>61</v>
      </c>
      <c r="H416" s="2" t="s">
        <v>7535</v>
      </c>
      <c r="I416" s="2" t="s">
        <v>7536</v>
      </c>
      <c r="J416" s="2" t="s">
        <v>7537</v>
      </c>
      <c r="K416" s="2" t="s">
        <v>68</v>
      </c>
      <c r="L416" s="2" t="s">
        <v>7538</v>
      </c>
      <c r="M416" s="2" t="s">
        <v>7539</v>
      </c>
      <c r="N416" s="2" t="s">
        <v>7540</v>
      </c>
      <c r="O416" s="2" t="s">
        <v>7541</v>
      </c>
      <c r="P416" s="2" t="s">
        <v>7542</v>
      </c>
      <c r="Q416" s="2" t="s">
        <v>7543</v>
      </c>
      <c r="R416" s="2" t="s">
        <v>7544</v>
      </c>
      <c r="S416" s="2" t="s">
        <v>7545</v>
      </c>
      <c r="T416" s="2" t="s">
        <v>7546</v>
      </c>
      <c r="U416" s="2" t="s">
        <v>7547</v>
      </c>
      <c r="V416" s="2" t="s">
        <v>7548</v>
      </c>
      <c r="W416" s="2" t="s">
        <v>80</v>
      </c>
      <c r="X416" s="4">
        <v>287</v>
      </c>
      <c r="Y416" s="4">
        <v>127</v>
      </c>
      <c r="Z416" s="4">
        <v>128</v>
      </c>
      <c r="AA416" s="4">
        <v>71</v>
      </c>
      <c r="AB416" s="4">
        <v>357</v>
      </c>
      <c r="AC416" s="2" t="s">
        <v>211</v>
      </c>
      <c r="AD416" s="2" t="s">
        <v>212</v>
      </c>
      <c r="AE416" s="2" t="s">
        <v>213</v>
      </c>
      <c r="AF416" s="2" t="s">
        <v>86</v>
      </c>
      <c r="AG416" s="2" t="s">
        <v>7549</v>
      </c>
      <c r="AH416" s="2" t="s">
        <v>86</v>
      </c>
      <c r="AI416" s="2" t="s">
        <v>7537</v>
      </c>
      <c r="AJ416" s="2" t="s">
        <v>7550</v>
      </c>
      <c r="AK416" s="2" t="s">
        <v>873</v>
      </c>
      <c r="AL416" s="4">
        <v>2020</v>
      </c>
      <c r="AM416" s="4">
        <v>9</v>
      </c>
      <c r="AN416" s="4">
        <v>10</v>
      </c>
      <c r="AO416" s="2" t="s">
        <v>86</v>
      </c>
      <c r="AP416" s="2" t="s">
        <v>86</v>
      </c>
      <c r="AQ416" s="2" t="s">
        <v>86</v>
      </c>
      <c r="AR416" s="2" t="s">
        <v>86</v>
      </c>
      <c r="AS416" s="2" t="s">
        <v>86</v>
      </c>
      <c r="AT416" s="2" t="s">
        <v>86</v>
      </c>
      <c r="AU416" s="4">
        <v>1438</v>
      </c>
      <c r="AV416" s="2" t="s">
        <v>86</v>
      </c>
      <c r="AW416" s="2" t="s">
        <v>86</v>
      </c>
      <c r="AX416" s="4">
        <v>36</v>
      </c>
      <c r="AY416" s="2" t="s">
        <v>965</v>
      </c>
      <c r="AZ416" s="2" t="s">
        <v>92</v>
      </c>
      <c r="BA416" s="2" t="s">
        <v>965</v>
      </c>
      <c r="BB416" s="2" t="s">
        <v>7551</v>
      </c>
      <c r="BC416" s="4">
        <v>33050581</v>
      </c>
      <c r="BD416" s="2" t="s">
        <v>220</v>
      </c>
      <c r="BE416" s="2" t="s">
        <v>86</v>
      </c>
      <c r="BF416" s="2" t="s">
        <v>86</v>
      </c>
      <c r="BG416" s="2" t="s">
        <v>95</v>
      </c>
      <c r="BH416" s="2" t="s">
        <v>7552</v>
      </c>
      <c r="BI416" s="2" t="str">
        <f>HYPERLINK("https%3A%2F%2Fwww.webofscience.com%2Fwos%2Fwoscc%2Ffull-record%2FWOS:000587450200001","View Full Record in Web of Science")</f>
        <v>View Full Record in Web of Science</v>
      </c>
    </row>
    <row r="417" spans="1:61" customFormat="1" ht="12.75" x14ac:dyDescent="0.2">
      <c r="A417" s="1">
        <v>414</v>
      </c>
      <c r="B417" s="1" t="s">
        <v>1068</v>
      </c>
      <c r="C417" s="1" t="s">
        <v>7553</v>
      </c>
      <c r="D417" s="2" t="s">
        <v>7554</v>
      </c>
      <c r="E417" s="2" t="s">
        <v>7555</v>
      </c>
      <c r="F417" s="3" t="str">
        <f>HYPERLINK("http://dx.doi.org/10.1007/s40098-021-00544-5","http://dx.doi.org/10.1007/s40098-021-00544-5")</f>
        <v>http://dx.doi.org/10.1007/s40098-021-00544-5</v>
      </c>
      <c r="G417" s="2" t="s">
        <v>200</v>
      </c>
      <c r="H417" s="2" t="s">
        <v>7556</v>
      </c>
      <c r="I417" s="2" t="s">
        <v>7557</v>
      </c>
      <c r="J417" s="2" t="s">
        <v>7558</v>
      </c>
      <c r="K417" s="2" t="s">
        <v>68</v>
      </c>
      <c r="L417" s="2" t="s">
        <v>7559</v>
      </c>
      <c r="M417" s="2" t="s">
        <v>86</v>
      </c>
      <c r="N417" s="2" t="s">
        <v>7560</v>
      </c>
      <c r="O417" s="2" t="s">
        <v>7561</v>
      </c>
      <c r="P417" s="2" t="s">
        <v>7562</v>
      </c>
      <c r="Q417" s="2" t="s">
        <v>7563</v>
      </c>
      <c r="R417" s="2" t="s">
        <v>86</v>
      </c>
      <c r="S417" s="2" t="s">
        <v>86</v>
      </c>
      <c r="T417" s="2" t="s">
        <v>86</v>
      </c>
      <c r="U417" s="2" t="s">
        <v>86</v>
      </c>
      <c r="V417" s="2" t="s">
        <v>86</v>
      </c>
      <c r="W417" s="2" t="s">
        <v>80</v>
      </c>
      <c r="X417" s="4">
        <v>11</v>
      </c>
      <c r="Y417" s="4">
        <v>2</v>
      </c>
      <c r="Z417" s="4">
        <v>2</v>
      </c>
      <c r="AA417" s="4">
        <v>0</v>
      </c>
      <c r="AB417" s="4">
        <v>8</v>
      </c>
      <c r="AC417" s="2" t="s">
        <v>7329</v>
      </c>
      <c r="AD417" s="2" t="s">
        <v>1084</v>
      </c>
      <c r="AE417" s="2" t="s">
        <v>7330</v>
      </c>
      <c r="AF417" s="2" t="s">
        <v>7564</v>
      </c>
      <c r="AG417" s="2" t="s">
        <v>7565</v>
      </c>
      <c r="AH417" s="2" t="s">
        <v>86</v>
      </c>
      <c r="AI417" s="2" t="s">
        <v>7566</v>
      </c>
      <c r="AJ417" s="2" t="s">
        <v>7567</v>
      </c>
      <c r="AK417" s="2" t="s">
        <v>146</v>
      </c>
      <c r="AL417" s="4">
        <v>2022</v>
      </c>
      <c r="AM417" s="4">
        <v>52</v>
      </c>
      <c r="AN417" s="4">
        <v>1</v>
      </c>
      <c r="AO417" s="2" t="s">
        <v>86</v>
      </c>
      <c r="AP417" s="2" t="s">
        <v>86</v>
      </c>
      <c r="AQ417" s="2" t="s">
        <v>86</v>
      </c>
      <c r="AR417" s="2" t="s">
        <v>86</v>
      </c>
      <c r="AS417" s="4">
        <v>227</v>
      </c>
      <c r="AT417" s="4">
        <v>236</v>
      </c>
      <c r="AU417" s="2" t="s">
        <v>86</v>
      </c>
      <c r="AV417" s="2" t="s">
        <v>86</v>
      </c>
      <c r="AW417" s="2" t="s">
        <v>2290</v>
      </c>
      <c r="AX417" s="4">
        <v>10</v>
      </c>
      <c r="AY417" s="2" t="s">
        <v>7568</v>
      </c>
      <c r="AZ417" s="2" t="s">
        <v>171</v>
      </c>
      <c r="BA417" s="2" t="s">
        <v>345</v>
      </c>
      <c r="BB417" s="2" t="s">
        <v>7569</v>
      </c>
      <c r="BC417" s="2" t="s">
        <v>86</v>
      </c>
      <c r="BD417" s="2" t="s">
        <v>86</v>
      </c>
      <c r="BE417" s="2" t="s">
        <v>86</v>
      </c>
      <c r="BF417" s="2" t="s">
        <v>86</v>
      </c>
      <c r="BG417" s="2" t="s">
        <v>95</v>
      </c>
      <c r="BH417" s="2" t="s">
        <v>7570</v>
      </c>
      <c r="BI417" s="2" t="str">
        <f>HYPERLINK("https%3A%2F%2Fwww.webofscience.com%2Fwos%2Fwoscc%2Ffull-record%2FWOS:000655803700001","View Full Record in Web of Science")</f>
        <v>View Full Record in Web of Science</v>
      </c>
    </row>
    <row r="418" spans="1:61" customFormat="1" ht="12.75" x14ac:dyDescent="0.2">
      <c r="A418" s="1">
        <v>415</v>
      </c>
      <c r="B418" s="1" t="s">
        <v>1068</v>
      </c>
      <c r="C418" s="1" t="s">
        <v>7571</v>
      </c>
      <c r="D418" s="2" t="s">
        <v>7572</v>
      </c>
      <c r="E418" s="2" t="s">
        <v>7573</v>
      </c>
      <c r="F418" s="3" t="str">
        <f>HYPERLINK("http://dx.doi.org/10.5606/tftrd.2017.13549","http://dx.doi.org/10.5606/tftrd.2017.13549")</f>
        <v>http://dx.doi.org/10.5606/tftrd.2017.13549</v>
      </c>
      <c r="G418" s="2" t="s">
        <v>200</v>
      </c>
      <c r="H418" s="2" t="s">
        <v>7574</v>
      </c>
      <c r="I418" s="2" t="s">
        <v>7575</v>
      </c>
      <c r="J418" s="2" t="s">
        <v>7576</v>
      </c>
      <c r="K418" s="2" t="s">
        <v>68</v>
      </c>
      <c r="L418" s="2" t="s">
        <v>7577</v>
      </c>
      <c r="M418" s="2" t="s">
        <v>7578</v>
      </c>
      <c r="N418" s="2" t="s">
        <v>7579</v>
      </c>
      <c r="O418" s="2" t="s">
        <v>7580</v>
      </c>
      <c r="P418" s="2" t="s">
        <v>7581</v>
      </c>
      <c r="Q418" s="2" t="s">
        <v>7582</v>
      </c>
      <c r="R418" s="2" t="s">
        <v>7583</v>
      </c>
      <c r="S418" s="2" t="s">
        <v>7584</v>
      </c>
      <c r="T418" s="2" t="s">
        <v>86</v>
      </c>
      <c r="U418" s="2" t="s">
        <v>86</v>
      </c>
      <c r="V418" s="2" t="s">
        <v>86</v>
      </c>
      <c r="W418" s="2" t="s">
        <v>80</v>
      </c>
      <c r="X418" s="4">
        <v>10</v>
      </c>
      <c r="Y418" s="4">
        <v>1</v>
      </c>
      <c r="Z418" s="4">
        <v>1</v>
      </c>
      <c r="AA418" s="4">
        <v>1</v>
      </c>
      <c r="AB418" s="4">
        <v>2</v>
      </c>
      <c r="AC418" s="2" t="s">
        <v>7585</v>
      </c>
      <c r="AD418" s="2" t="s">
        <v>7586</v>
      </c>
      <c r="AE418" s="2" t="s">
        <v>7587</v>
      </c>
      <c r="AF418" s="2" t="s">
        <v>7588</v>
      </c>
      <c r="AG418" s="2" t="s">
        <v>7589</v>
      </c>
      <c r="AH418" s="2" t="s">
        <v>86</v>
      </c>
      <c r="AI418" s="2" t="s">
        <v>7590</v>
      </c>
      <c r="AJ418" s="2" t="s">
        <v>7591</v>
      </c>
      <c r="AK418" s="2" t="s">
        <v>366</v>
      </c>
      <c r="AL418" s="4">
        <v>2017</v>
      </c>
      <c r="AM418" s="4">
        <v>63</v>
      </c>
      <c r="AN418" s="4">
        <v>1</v>
      </c>
      <c r="AO418" s="2" t="s">
        <v>86</v>
      </c>
      <c r="AP418" s="2" t="s">
        <v>86</v>
      </c>
      <c r="AQ418" s="2" t="s">
        <v>86</v>
      </c>
      <c r="AR418" s="2" t="s">
        <v>86</v>
      </c>
      <c r="AS418" s="4">
        <v>88</v>
      </c>
      <c r="AT418" s="4">
        <v>91</v>
      </c>
      <c r="AU418" s="2" t="s">
        <v>86</v>
      </c>
      <c r="AV418" s="2" t="s">
        <v>86</v>
      </c>
      <c r="AW418" s="2" t="s">
        <v>86</v>
      </c>
      <c r="AX418" s="4">
        <v>4</v>
      </c>
      <c r="AY418" s="2" t="s">
        <v>7592</v>
      </c>
      <c r="AZ418" s="2" t="s">
        <v>92</v>
      </c>
      <c r="BA418" s="2" t="s">
        <v>7592</v>
      </c>
      <c r="BB418" s="2" t="s">
        <v>7593</v>
      </c>
      <c r="BC418" s="2" t="s">
        <v>86</v>
      </c>
      <c r="BD418" s="2" t="s">
        <v>321</v>
      </c>
      <c r="BE418" s="2" t="s">
        <v>86</v>
      </c>
      <c r="BF418" s="2" t="s">
        <v>86</v>
      </c>
      <c r="BG418" s="2" t="s">
        <v>95</v>
      </c>
      <c r="BH418" s="2" t="s">
        <v>7594</v>
      </c>
      <c r="BI418" s="2" t="str">
        <f>HYPERLINK("https%3A%2F%2Fwww.webofscience.com%2Fwos%2Fwoscc%2Ffull-record%2FWOS:000400722700014","View Full Record in Web of Science")</f>
        <v>View Full Record in Web of Science</v>
      </c>
    </row>
    <row r="419" spans="1:61" customFormat="1" ht="12.75" x14ac:dyDescent="0.2">
      <c r="A419" s="1">
        <v>416</v>
      </c>
      <c r="B419" s="1" t="s">
        <v>1068</v>
      </c>
      <c r="C419" s="1" t="s">
        <v>7595</v>
      </c>
      <c r="D419" s="2" t="s">
        <v>7596</v>
      </c>
      <c r="E419" s="2" t="s">
        <v>7597</v>
      </c>
      <c r="F419" s="3" t="str">
        <f>HYPERLINK("http://dx.doi.org/10.1007/s00254-007-0974-5","http://dx.doi.org/10.1007/s00254-007-0974-5")</f>
        <v>http://dx.doi.org/10.1007/s00254-007-0974-5</v>
      </c>
      <c r="G419" s="2" t="s">
        <v>200</v>
      </c>
      <c r="H419" s="2" t="s">
        <v>7598</v>
      </c>
      <c r="I419" s="2" t="s">
        <v>7599</v>
      </c>
      <c r="J419" s="2" t="s">
        <v>5688</v>
      </c>
      <c r="K419" s="2" t="s">
        <v>68</v>
      </c>
      <c r="L419" s="2" t="s">
        <v>86</v>
      </c>
      <c r="M419" s="2" t="s">
        <v>86</v>
      </c>
      <c r="N419" s="2" t="s">
        <v>7600</v>
      </c>
      <c r="O419" s="2" t="s">
        <v>7601</v>
      </c>
      <c r="P419" s="2" t="s">
        <v>7602</v>
      </c>
      <c r="Q419" s="2" t="s">
        <v>7603</v>
      </c>
      <c r="R419" s="2" t="s">
        <v>86</v>
      </c>
      <c r="S419" s="2" t="s">
        <v>86</v>
      </c>
      <c r="T419" s="2" t="s">
        <v>86</v>
      </c>
      <c r="U419" s="2" t="s">
        <v>86</v>
      </c>
      <c r="V419" s="2" t="s">
        <v>86</v>
      </c>
      <c r="W419" s="2" t="s">
        <v>80</v>
      </c>
      <c r="X419" s="4">
        <v>14</v>
      </c>
      <c r="Y419" s="4">
        <v>7</v>
      </c>
      <c r="Z419" s="4">
        <v>7</v>
      </c>
      <c r="AA419" s="4">
        <v>0</v>
      </c>
      <c r="AB419" s="4">
        <v>10</v>
      </c>
      <c r="AC419" s="2" t="s">
        <v>139</v>
      </c>
      <c r="AD419" s="2" t="s">
        <v>1355</v>
      </c>
      <c r="AE419" s="2" t="s">
        <v>4512</v>
      </c>
      <c r="AF419" s="2" t="s">
        <v>5697</v>
      </c>
      <c r="AG419" s="2" t="s">
        <v>86</v>
      </c>
      <c r="AH419" s="2" t="s">
        <v>86</v>
      </c>
      <c r="AI419" s="2" t="s">
        <v>5698</v>
      </c>
      <c r="AJ419" s="2" t="s">
        <v>5699</v>
      </c>
      <c r="AK419" s="2" t="s">
        <v>1458</v>
      </c>
      <c r="AL419" s="4">
        <v>2008</v>
      </c>
      <c r="AM419" s="4">
        <v>55</v>
      </c>
      <c r="AN419" s="4">
        <v>1</v>
      </c>
      <c r="AO419" s="2" t="s">
        <v>86</v>
      </c>
      <c r="AP419" s="2" t="s">
        <v>86</v>
      </c>
      <c r="AQ419" s="2" t="s">
        <v>86</v>
      </c>
      <c r="AR419" s="2" t="s">
        <v>86</v>
      </c>
      <c r="AS419" s="4">
        <v>179</v>
      </c>
      <c r="AT419" s="4">
        <v>190</v>
      </c>
      <c r="AU419" s="2" t="s">
        <v>86</v>
      </c>
      <c r="AV419" s="2" t="s">
        <v>86</v>
      </c>
      <c r="AW419" s="2" t="s">
        <v>86</v>
      </c>
      <c r="AX419" s="4">
        <v>12</v>
      </c>
      <c r="AY419" s="2" t="s">
        <v>4217</v>
      </c>
      <c r="AZ419" s="2" t="s">
        <v>92</v>
      </c>
      <c r="BA419" s="2" t="s">
        <v>4218</v>
      </c>
      <c r="BB419" s="2" t="s">
        <v>7604</v>
      </c>
      <c r="BC419" s="2" t="s">
        <v>86</v>
      </c>
      <c r="BD419" s="2" t="s">
        <v>86</v>
      </c>
      <c r="BE419" s="2" t="s">
        <v>86</v>
      </c>
      <c r="BF419" s="2" t="s">
        <v>86</v>
      </c>
      <c r="BG419" s="2" t="s">
        <v>95</v>
      </c>
      <c r="BH419" s="2" t="s">
        <v>7605</v>
      </c>
      <c r="BI419" s="2" t="str">
        <f>HYPERLINK("https%3A%2F%2Fwww.webofscience.com%2Fwos%2Fwoscc%2Ffull-record%2FWOS:000256473900018","View Full Record in Web of Science")</f>
        <v>View Full Record in Web of Science</v>
      </c>
    </row>
    <row r="420" spans="1:61" customFormat="1" ht="12.75" x14ac:dyDescent="0.2">
      <c r="A420" s="1">
        <v>417</v>
      </c>
      <c r="B420" s="1" t="s">
        <v>1068</v>
      </c>
      <c r="C420" s="1" t="s">
        <v>7606</v>
      </c>
      <c r="D420" s="2" t="s">
        <v>7607</v>
      </c>
      <c r="E420" s="2" t="s">
        <v>7608</v>
      </c>
      <c r="F420" s="3" t="str">
        <f>HYPERLINK("http://dx.doi.org/10.2478/aiht-2022-73-3640","http://dx.doi.org/10.2478/aiht-2022-73-3640")</f>
        <v>http://dx.doi.org/10.2478/aiht-2022-73-3640</v>
      </c>
      <c r="G420" s="2" t="s">
        <v>200</v>
      </c>
      <c r="H420" s="2" t="s">
        <v>7609</v>
      </c>
      <c r="I420" s="2" t="s">
        <v>7610</v>
      </c>
      <c r="J420" s="2" t="s">
        <v>7611</v>
      </c>
      <c r="K420" s="2" t="s">
        <v>68</v>
      </c>
      <c r="L420" s="2" t="s">
        <v>7612</v>
      </c>
      <c r="M420" s="2" t="s">
        <v>7613</v>
      </c>
      <c r="N420" s="2" t="s">
        <v>7614</v>
      </c>
      <c r="O420" s="2" t="s">
        <v>7615</v>
      </c>
      <c r="P420" s="2" t="s">
        <v>7616</v>
      </c>
      <c r="Q420" s="2" t="s">
        <v>7617</v>
      </c>
      <c r="R420" s="2" t="s">
        <v>7618</v>
      </c>
      <c r="S420" s="2" t="s">
        <v>7619</v>
      </c>
      <c r="T420" s="2" t="s">
        <v>7620</v>
      </c>
      <c r="U420" s="2" t="s">
        <v>7621</v>
      </c>
      <c r="V420" s="2" t="s">
        <v>7622</v>
      </c>
      <c r="W420" s="2" t="s">
        <v>80</v>
      </c>
      <c r="X420" s="4">
        <v>51</v>
      </c>
      <c r="Y420" s="4">
        <v>2</v>
      </c>
      <c r="Z420" s="4">
        <v>2</v>
      </c>
      <c r="AA420" s="4">
        <v>1</v>
      </c>
      <c r="AB420" s="4">
        <v>2</v>
      </c>
      <c r="AC420" s="2" t="s">
        <v>7623</v>
      </c>
      <c r="AD420" s="2" t="s">
        <v>7624</v>
      </c>
      <c r="AE420" s="2" t="s">
        <v>7625</v>
      </c>
      <c r="AF420" s="2" t="s">
        <v>7626</v>
      </c>
      <c r="AG420" s="2" t="s">
        <v>7627</v>
      </c>
      <c r="AH420" s="2" t="s">
        <v>86</v>
      </c>
      <c r="AI420" s="2" t="s">
        <v>7628</v>
      </c>
      <c r="AJ420" s="2" t="s">
        <v>7629</v>
      </c>
      <c r="AK420" s="2" t="s">
        <v>7630</v>
      </c>
      <c r="AL420" s="4">
        <v>2022</v>
      </c>
      <c r="AM420" s="4">
        <v>73</v>
      </c>
      <c r="AN420" s="4">
        <v>3</v>
      </c>
      <c r="AO420" s="2" t="s">
        <v>86</v>
      </c>
      <c r="AP420" s="2" t="s">
        <v>86</v>
      </c>
      <c r="AQ420" s="2" t="s">
        <v>86</v>
      </c>
      <c r="AR420" s="2" t="s">
        <v>86</v>
      </c>
      <c r="AS420" s="4">
        <v>200</v>
      </c>
      <c r="AT420" s="4">
        <v>206</v>
      </c>
      <c r="AU420" s="2" t="s">
        <v>86</v>
      </c>
      <c r="AV420" s="2" t="s">
        <v>86</v>
      </c>
      <c r="AW420" s="2" t="s">
        <v>86</v>
      </c>
      <c r="AX420" s="4">
        <v>7</v>
      </c>
      <c r="AY420" s="2" t="s">
        <v>7631</v>
      </c>
      <c r="AZ420" s="2" t="s">
        <v>92</v>
      </c>
      <c r="BA420" s="2" t="s">
        <v>7631</v>
      </c>
      <c r="BB420" s="2" t="s">
        <v>7632</v>
      </c>
      <c r="BC420" s="4">
        <v>36226819</v>
      </c>
      <c r="BD420" s="2" t="s">
        <v>723</v>
      </c>
      <c r="BE420" s="2" t="s">
        <v>86</v>
      </c>
      <c r="BF420" s="2" t="s">
        <v>86</v>
      </c>
      <c r="BG420" s="2" t="s">
        <v>95</v>
      </c>
      <c r="BH420" s="2" t="s">
        <v>7633</v>
      </c>
      <c r="BI420" s="2" t="str">
        <f>HYPERLINK("https%3A%2F%2Fwww.webofscience.com%2Fwos%2Fwoscc%2Ffull-record%2FWOS:000866860400003","View Full Record in Web of Science")</f>
        <v>View Full Record in Web of Science</v>
      </c>
    </row>
    <row r="421" spans="1:61" customFormat="1" ht="12.75" x14ac:dyDescent="0.2">
      <c r="A421" s="1">
        <v>418</v>
      </c>
      <c r="B421" s="1" t="s">
        <v>1068</v>
      </c>
      <c r="C421" s="1" t="s">
        <v>7634</v>
      </c>
      <c r="D421" s="2" t="s">
        <v>7635</v>
      </c>
      <c r="E421" s="2" t="s">
        <v>7636</v>
      </c>
      <c r="F421" s="3" t="str">
        <f>HYPERLINK("http://dx.doi.org/10.1016/j.ijbiomac.2022.07.157","http://dx.doi.org/10.1016/j.ijbiomac.2022.07.157")</f>
        <v>http://dx.doi.org/10.1016/j.ijbiomac.2022.07.157</v>
      </c>
      <c r="G421" s="2" t="s">
        <v>200</v>
      </c>
      <c r="H421" s="2" t="s">
        <v>7637</v>
      </c>
      <c r="I421" s="2" t="s">
        <v>7638</v>
      </c>
      <c r="J421" s="2" t="s">
        <v>7639</v>
      </c>
      <c r="K421" s="2" t="s">
        <v>68</v>
      </c>
      <c r="L421" s="2" t="s">
        <v>7640</v>
      </c>
      <c r="M421" s="2" t="s">
        <v>7641</v>
      </c>
      <c r="N421" s="2" t="s">
        <v>7642</v>
      </c>
      <c r="O421" s="2" t="s">
        <v>7643</v>
      </c>
      <c r="P421" s="2" t="s">
        <v>7644</v>
      </c>
      <c r="Q421" s="2" t="s">
        <v>7645</v>
      </c>
      <c r="R421" s="2" t="s">
        <v>86</v>
      </c>
      <c r="S421" s="2" t="s">
        <v>86</v>
      </c>
      <c r="T421" s="2" t="s">
        <v>86</v>
      </c>
      <c r="U421" s="2" t="s">
        <v>86</v>
      </c>
      <c r="V421" s="2" t="s">
        <v>86</v>
      </c>
      <c r="W421" s="2" t="s">
        <v>80</v>
      </c>
      <c r="X421" s="4">
        <v>58</v>
      </c>
      <c r="Y421" s="4">
        <v>3</v>
      </c>
      <c r="Z421" s="4">
        <v>3</v>
      </c>
      <c r="AA421" s="4">
        <v>3</v>
      </c>
      <c r="AB421" s="4">
        <v>9</v>
      </c>
      <c r="AC421" s="2" t="s">
        <v>585</v>
      </c>
      <c r="AD421" s="2" t="s">
        <v>586</v>
      </c>
      <c r="AE421" s="2" t="s">
        <v>587</v>
      </c>
      <c r="AF421" s="2" t="s">
        <v>7646</v>
      </c>
      <c r="AG421" s="2" t="s">
        <v>7647</v>
      </c>
      <c r="AH421" s="2" t="s">
        <v>86</v>
      </c>
      <c r="AI421" s="2" t="s">
        <v>7648</v>
      </c>
      <c r="AJ421" s="2" t="s">
        <v>7649</v>
      </c>
      <c r="AK421" s="2" t="s">
        <v>849</v>
      </c>
      <c r="AL421" s="4">
        <v>2022</v>
      </c>
      <c r="AM421" s="4">
        <v>218</v>
      </c>
      <c r="AN421" s="2" t="s">
        <v>86</v>
      </c>
      <c r="AO421" s="2" t="s">
        <v>86</v>
      </c>
      <c r="AP421" s="2" t="s">
        <v>86</v>
      </c>
      <c r="AQ421" s="2" t="s">
        <v>86</v>
      </c>
      <c r="AR421" s="2" t="s">
        <v>86</v>
      </c>
      <c r="AS421" s="4">
        <v>751</v>
      </c>
      <c r="AT421" s="4">
        <v>759</v>
      </c>
      <c r="AU421" s="2" t="s">
        <v>86</v>
      </c>
      <c r="AV421" s="2" t="s">
        <v>86</v>
      </c>
      <c r="AW421" s="2" t="s">
        <v>86</v>
      </c>
      <c r="AX421" s="4">
        <v>9</v>
      </c>
      <c r="AY421" s="2" t="s">
        <v>7650</v>
      </c>
      <c r="AZ421" s="2" t="s">
        <v>92</v>
      </c>
      <c r="BA421" s="2" t="s">
        <v>7651</v>
      </c>
      <c r="BB421" s="2" t="s">
        <v>7652</v>
      </c>
      <c r="BC421" s="4">
        <v>35905758</v>
      </c>
      <c r="BD421" s="2" t="s">
        <v>86</v>
      </c>
      <c r="BE421" s="2" t="s">
        <v>86</v>
      </c>
      <c r="BF421" s="2" t="s">
        <v>86</v>
      </c>
      <c r="BG421" s="2" t="s">
        <v>95</v>
      </c>
      <c r="BH421" s="2" t="s">
        <v>7653</v>
      </c>
      <c r="BI421" s="2" t="str">
        <f>HYPERLINK("https%3A%2F%2Fwww.webofscience.com%2Fwos%2Fwoscc%2Ffull-record%2FWOS:000895330400005","View Full Record in Web of Science")</f>
        <v>View Full Record in Web of Science</v>
      </c>
    </row>
    <row r="422" spans="1:61" customFormat="1" ht="12.75" x14ac:dyDescent="0.2">
      <c r="A422" s="1">
        <v>419</v>
      </c>
      <c r="B422" s="1" t="s">
        <v>1068</v>
      </c>
      <c r="C422" s="1" t="s">
        <v>7654</v>
      </c>
      <c r="D422" s="2" t="s">
        <v>7655</v>
      </c>
      <c r="E422" s="2" t="s">
        <v>7656</v>
      </c>
      <c r="F422" s="3" t="str">
        <f>HYPERLINK("http://dx.doi.org/10.3906/elk-2003-69","http://dx.doi.org/10.3906/elk-2003-69")</f>
        <v>http://dx.doi.org/10.3906/elk-2003-69</v>
      </c>
      <c r="G422" s="2" t="s">
        <v>200</v>
      </c>
      <c r="H422" s="2" t="s">
        <v>7657</v>
      </c>
      <c r="I422" s="2" t="s">
        <v>7658</v>
      </c>
      <c r="J422" s="2" t="s">
        <v>7659</v>
      </c>
      <c r="K422" s="2" t="s">
        <v>68</v>
      </c>
      <c r="L422" s="2" t="s">
        <v>7660</v>
      </c>
      <c r="M422" s="2" t="s">
        <v>7661</v>
      </c>
      <c r="N422" s="2" t="s">
        <v>7662</v>
      </c>
      <c r="O422" s="2" t="s">
        <v>7663</v>
      </c>
      <c r="P422" s="2" t="s">
        <v>7664</v>
      </c>
      <c r="Q422" s="2" t="s">
        <v>7665</v>
      </c>
      <c r="R422" s="2" t="s">
        <v>7666</v>
      </c>
      <c r="S422" s="2" t="s">
        <v>7667</v>
      </c>
      <c r="T422" s="2" t="s">
        <v>7668</v>
      </c>
      <c r="U422" s="2" t="s">
        <v>7668</v>
      </c>
      <c r="V422" s="2" t="s">
        <v>7669</v>
      </c>
      <c r="W422" s="2" t="s">
        <v>80</v>
      </c>
      <c r="X422" s="4">
        <v>34</v>
      </c>
      <c r="Y422" s="4">
        <v>0</v>
      </c>
      <c r="Z422" s="4">
        <v>0</v>
      </c>
      <c r="AA422" s="4">
        <v>0</v>
      </c>
      <c r="AB422" s="4">
        <v>17</v>
      </c>
      <c r="AC422" s="2" t="s">
        <v>3032</v>
      </c>
      <c r="AD422" s="2" t="s">
        <v>932</v>
      </c>
      <c r="AE422" s="2" t="s">
        <v>3033</v>
      </c>
      <c r="AF422" s="2" t="s">
        <v>7670</v>
      </c>
      <c r="AG422" s="2" t="s">
        <v>7671</v>
      </c>
      <c r="AH422" s="2" t="s">
        <v>86</v>
      </c>
      <c r="AI422" s="2" t="s">
        <v>7672</v>
      </c>
      <c r="AJ422" s="2" t="s">
        <v>7673</v>
      </c>
      <c r="AK422" s="2" t="s">
        <v>86</v>
      </c>
      <c r="AL422" s="4">
        <v>2020</v>
      </c>
      <c r="AM422" s="4">
        <v>28</v>
      </c>
      <c r="AN422" s="4">
        <v>5</v>
      </c>
      <c r="AO422" s="2" t="s">
        <v>86</v>
      </c>
      <c r="AP422" s="2" t="s">
        <v>86</v>
      </c>
      <c r="AQ422" s="2" t="s">
        <v>86</v>
      </c>
      <c r="AR422" s="2" t="s">
        <v>86</v>
      </c>
      <c r="AS422" s="4">
        <v>2789</v>
      </c>
      <c r="AT422" s="4">
        <v>2796</v>
      </c>
      <c r="AU422" s="2" t="s">
        <v>86</v>
      </c>
      <c r="AV422" s="2" t="s">
        <v>86</v>
      </c>
      <c r="AW422" s="2" t="s">
        <v>86</v>
      </c>
      <c r="AX422" s="4">
        <v>8</v>
      </c>
      <c r="AY422" s="2" t="s">
        <v>7674</v>
      </c>
      <c r="AZ422" s="2" t="s">
        <v>92</v>
      </c>
      <c r="BA422" s="2" t="s">
        <v>7675</v>
      </c>
      <c r="BB422" s="2" t="s">
        <v>7676</v>
      </c>
      <c r="BC422" s="2" t="s">
        <v>86</v>
      </c>
      <c r="BD422" s="2" t="s">
        <v>86</v>
      </c>
      <c r="BE422" s="2" t="s">
        <v>86</v>
      </c>
      <c r="BF422" s="2" t="s">
        <v>86</v>
      </c>
      <c r="BG422" s="2" t="s">
        <v>95</v>
      </c>
      <c r="BH422" s="2" t="s">
        <v>7677</v>
      </c>
      <c r="BI422" s="2" t="str">
        <f>HYPERLINK("https%3A%2F%2Fwww.webofscience.com%2Fwos%2Fwoscc%2Ffull-record%2FWOS:000576682500011","View Full Record in Web of Science")</f>
        <v>View Full Record in Web of Science</v>
      </c>
    </row>
    <row r="423" spans="1:61" customFormat="1" ht="12.75" x14ac:dyDescent="0.2">
      <c r="A423" s="1">
        <v>420</v>
      </c>
      <c r="B423" s="1" t="s">
        <v>1068</v>
      </c>
      <c r="C423" s="1" t="s">
        <v>7678</v>
      </c>
      <c r="D423" s="2" t="s">
        <v>7679</v>
      </c>
      <c r="E423" s="2" t="s">
        <v>7680</v>
      </c>
      <c r="F423" s="3" t="str">
        <f>HYPERLINK("http://dx.doi.org/10.3906/vet-2006-43","http://dx.doi.org/10.3906/vet-2006-43")</f>
        <v>http://dx.doi.org/10.3906/vet-2006-43</v>
      </c>
      <c r="G423" s="2" t="s">
        <v>200</v>
      </c>
      <c r="H423" s="2" t="s">
        <v>7681</v>
      </c>
      <c r="I423" s="2" t="s">
        <v>7682</v>
      </c>
      <c r="J423" s="2" t="s">
        <v>7683</v>
      </c>
      <c r="K423" s="2" t="s">
        <v>68</v>
      </c>
      <c r="L423" s="2" t="s">
        <v>7684</v>
      </c>
      <c r="M423" s="2" t="s">
        <v>7685</v>
      </c>
      <c r="N423" s="2" t="s">
        <v>7686</v>
      </c>
      <c r="O423" s="2" t="s">
        <v>7687</v>
      </c>
      <c r="P423" s="2" t="s">
        <v>7688</v>
      </c>
      <c r="Q423" s="2" t="s">
        <v>7267</v>
      </c>
      <c r="R423" s="2" t="s">
        <v>86</v>
      </c>
      <c r="S423" s="2" t="s">
        <v>7689</v>
      </c>
      <c r="T423" s="2" t="s">
        <v>7690</v>
      </c>
      <c r="U423" s="2" t="s">
        <v>7691</v>
      </c>
      <c r="V423" s="2" t="s">
        <v>7692</v>
      </c>
      <c r="W423" s="2" t="s">
        <v>80</v>
      </c>
      <c r="X423" s="4">
        <v>59</v>
      </c>
      <c r="Y423" s="4">
        <v>4</v>
      </c>
      <c r="Z423" s="4">
        <v>4</v>
      </c>
      <c r="AA423" s="4">
        <v>3</v>
      </c>
      <c r="AB423" s="4">
        <v>9</v>
      </c>
      <c r="AC423" s="2" t="s">
        <v>2107</v>
      </c>
      <c r="AD423" s="2" t="s">
        <v>932</v>
      </c>
      <c r="AE423" s="2" t="s">
        <v>2108</v>
      </c>
      <c r="AF423" s="2" t="s">
        <v>7693</v>
      </c>
      <c r="AG423" s="2" t="s">
        <v>86</v>
      </c>
      <c r="AH423" s="2" t="s">
        <v>86</v>
      </c>
      <c r="AI423" s="2" t="s">
        <v>7694</v>
      </c>
      <c r="AJ423" s="2" t="s">
        <v>7695</v>
      </c>
      <c r="AK423" s="2" t="s">
        <v>86</v>
      </c>
      <c r="AL423" s="4">
        <v>2021</v>
      </c>
      <c r="AM423" s="4">
        <v>45</v>
      </c>
      <c r="AN423" s="4">
        <v>3</v>
      </c>
      <c r="AO423" s="2" t="s">
        <v>86</v>
      </c>
      <c r="AP423" s="2" t="s">
        <v>86</v>
      </c>
      <c r="AQ423" s="2" t="s">
        <v>86</v>
      </c>
      <c r="AR423" s="2" t="s">
        <v>86</v>
      </c>
      <c r="AS423" s="4">
        <v>547</v>
      </c>
      <c r="AT423" s="4">
        <v>555</v>
      </c>
      <c r="AU423" s="2" t="s">
        <v>86</v>
      </c>
      <c r="AV423" s="2" t="s">
        <v>86</v>
      </c>
      <c r="AW423" s="2" t="s">
        <v>86</v>
      </c>
      <c r="AX423" s="4">
        <v>9</v>
      </c>
      <c r="AY423" s="2" t="s">
        <v>1881</v>
      </c>
      <c r="AZ423" s="2" t="s">
        <v>92</v>
      </c>
      <c r="BA423" s="2" t="s">
        <v>1881</v>
      </c>
      <c r="BB423" s="2" t="s">
        <v>7696</v>
      </c>
      <c r="BC423" s="2" t="s">
        <v>86</v>
      </c>
      <c r="BD423" s="2" t="s">
        <v>321</v>
      </c>
      <c r="BE423" s="2" t="s">
        <v>86</v>
      </c>
      <c r="BF423" s="2" t="s">
        <v>86</v>
      </c>
      <c r="BG423" s="2" t="s">
        <v>95</v>
      </c>
      <c r="BH423" s="2" t="s">
        <v>7697</v>
      </c>
      <c r="BI423" s="2" t="str">
        <f>HYPERLINK("https%3A%2F%2Fwww.webofscience.com%2Fwos%2Fwoscc%2Ffull-record%2FWOS:000671763300021","View Full Record in Web of Science")</f>
        <v>View Full Record in Web of Science</v>
      </c>
    </row>
    <row r="424" spans="1:61" customFormat="1" ht="12.75" x14ac:dyDescent="0.2">
      <c r="A424" s="1">
        <v>421</v>
      </c>
      <c r="B424" s="1" t="s">
        <v>1068</v>
      </c>
      <c r="C424" s="1" t="s">
        <v>7698</v>
      </c>
      <c r="D424" s="2" t="s">
        <v>7699</v>
      </c>
      <c r="E424" s="2" t="s">
        <v>7700</v>
      </c>
      <c r="F424" s="3" t="str">
        <f>HYPERLINK("http://dx.doi.org/10.1016/j.smallrumres.2003.12.012","http://dx.doi.org/10.1016/j.smallrumres.2003.12.012")</f>
        <v>http://dx.doi.org/10.1016/j.smallrumres.2003.12.012</v>
      </c>
      <c r="G424" s="2" t="s">
        <v>200</v>
      </c>
      <c r="H424" s="2" t="s">
        <v>7701</v>
      </c>
      <c r="I424" s="2" t="s">
        <v>7701</v>
      </c>
      <c r="J424" s="2" t="s">
        <v>7702</v>
      </c>
      <c r="K424" s="2" t="s">
        <v>68</v>
      </c>
      <c r="L424" s="2" t="s">
        <v>7703</v>
      </c>
      <c r="M424" s="2" t="s">
        <v>7704</v>
      </c>
      <c r="N424" s="2" t="s">
        <v>7705</v>
      </c>
      <c r="O424" s="2" t="s">
        <v>7706</v>
      </c>
      <c r="P424" s="2" t="s">
        <v>7707</v>
      </c>
      <c r="Q424" s="2" t="s">
        <v>7708</v>
      </c>
      <c r="R424" s="2" t="s">
        <v>86</v>
      </c>
      <c r="S424" s="2" t="s">
        <v>86</v>
      </c>
      <c r="T424" s="2" t="s">
        <v>86</v>
      </c>
      <c r="U424" s="2" t="s">
        <v>86</v>
      </c>
      <c r="V424" s="2" t="s">
        <v>86</v>
      </c>
      <c r="W424" s="2" t="s">
        <v>80</v>
      </c>
      <c r="X424" s="4">
        <v>28</v>
      </c>
      <c r="Y424" s="4">
        <v>51</v>
      </c>
      <c r="Z424" s="4">
        <v>75</v>
      </c>
      <c r="AA424" s="4">
        <v>0</v>
      </c>
      <c r="AB424" s="4">
        <v>15</v>
      </c>
      <c r="AC424" s="2" t="s">
        <v>4555</v>
      </c>
      <c r="AD424" s="2" t="s">
        <v>586</v>
      </c>
      <c r="AE424" s="2" t="s">
        <v>4556</v>
      </c>
      <c r="AF424" s="2" t="s">
        <v>7709</v>
      </c>
      <c r="AG424" s="2" t="s">
        <v>86</v>
      </c>
      <c r="AH424" s="2" t="s">
        <v>86</v>
      </c>
      <c r="AI424" s="2" t="s">
        <v>7710</v>
      </c>
      <c r="AJ424" s="2" t="s">
        <v>7711</v>
      </c>
      <c r="AK424" s="2" t="s">
        <v>873</v>
      </c>
      <c r="AL424" s="4">
        <v>2004</v>
      </c>
      <c r="AM424" s="4">
        <v>55</v>
      </c>
      <c r="AN424" s="2" t="s">
        <v>5018</v>
      </c>
      <c r="AO424" s="2" t="s">
        <v>86</v>
      </c>
      <c r="AP424" s="2" t="s">
        <v>86</v>
      </c>
      <c r="AQ424" s="2" t="s">
        <v>86</v>
      </c>
      <c r="AR424" s="2" t="s">
        <v>86</v>
      </c>
      <c r="AS424" s="4">
        <v>249</v>
      </c>
      <c r="AT424" s="4">
        <v>252</v>
      </c>
      <c r="AU424" s="2" t="s">
        <v>86</v>
      </c>
      <c r="AV424" s="2" t="s">
        <v>86</v>
      </c>
      <c r="AW424" s="2" t="s">
        <v>86</v>
      </c>
      <c r="AX424" s="4">
        <v>4</v>
      </c>
      <c r="AY424" s="2" t="s">
        <v>4718</v>
      </c>
      <c r="AZ424" s="2" t="s">
        <v>92</v>
      </c>
      <c r="BA424" s="2" t="s">
        <v>4719</v>
      </c>
      <c r="BB424" s="2" t="s">
        <v>7712</v>
      </c>
      <c r="BC424" s="2" t="s">
        <v>86</v>
      </c>
      <c r="BD424" s="2" t="s">
        <v>86</v>
      </c>
      <c r="BE424" s="2" t="s">
        <v>86</v>
      </c>
      <c r="BF424" s="2" t="s">
        <v>86</v>
      </c>
      <c r="BG424" s="2" t="s">
        <v>95</v>
      </c>
      <c r="BH424" s="2" t="s">
        <v>7713</v>
      </c>
      <c r="BI424" s="2" t="str">
        <f>HYPERLINK("https%3A%2F%2Fwww.webofscience.com%2Fwos%2Fwoscc%2Ffull-record%2FWOS:000223508700032","View Full Record in Web of Science")</f>
        <v>View Full Record in Web of Science</v>
      </c>
    </row>
    <row r="425" spans="1:61" customFormat="1" ht="12.75" x14ac:dyDescent="0.2">
      <c r="A425" s="1">
        <v>422</v>
      </c>
      <c r="B425" s="1" t="s">
        <v>1068</v>
      </c>
      <c r="C425" s="1" t="s">
        <v>7714</v>
      </c>
      <c r="D425" s="2" t="s">
        <v>7715</v>
      </c>
      <c r="E425" s="2" t="s">
        <v>7716</v>
      </c>
      <c r="F425" s="3" t="str">
        <f>HYPERLINK("http://dx.doi.org/10.12989/aer.2020.9.2.135","http://dx.doi.org/10.12989/aer.2020.9.2.135")</f>
        <v>http://dx.doi.org/10.12989/aer.2020.9.2.135</v>
      </c>
      <c r="G425" s="2" t="s">
        <v>200</v>
      </c>
      <c r="H425" s="2" t="s">
        <v>7717</v>
      </c>
      <c r="I425" s="2" t="s">
        <v>7718</v>
      </c>
      <c r="J425" s="2" t="s">
        <v>7719</v>
      </c>
      <c r="K425" s="2" t="s">
        <v>68</v>
      </c>
      <c r="L425" s="2" t="s">
        <v>7720</v>
      </c>
      <c r="M425" s="2" t="s">
        <v>7721</v>
      </c>
      <c r="N425" s="2" t="s">
        <v>7722</v>
      </c>
      <c r="O425" s="2" t="s">
        <v>7723</v>
      </c>
      <c r="P425" s="2" t="s">
        <v>7724</v>
      </c>
      <c r="Q425" s="2" t="s">
        <v>7725</v>
      </c>
      <c r="R425" s="2" t="s">
        <v>7726</v>
      </c>
      <c r="S425" s="2" t="s">
        <v>7727</v>
      </c>
      <c r="T425" s="2" t="s">
        <v>86</v>
      </c>
      <c r="U425" s="2" t="s">
        <v>86</v>
      </c>
      <c r="V425" s="2" t="s">
        <v>86</v>
      </c>
      <c r="W425" s="2" t="s">
        <v>80</v>
      </c>
      <c r="X425" s="4">
        <v>31</v>
      </c>
      <c r="Y425" s="4">
        <v>2</v>
      </c>
      <c r="Z425" s="4">
        <v>2</v>
      </c>
      <c r="AA425" s="4">
        <v>0</v>
      </c>
      <c r="AB425" s="4">
        <v>6</v>
      </c>
      <c r="AC425" s="2" t="s">
        <v>7728</v>
      </c>
      <c r="AD425" s="2" t="s">
        <v>7729</v>
      </c>
      <c r="AE425" s="2" t="s">
        <v>7730</v>
      </c>
      <c r="AF425" s="2" t="s">
        <v>7731</v>
      </c>
      <c r="AG425" s="2" t="s">
        <v>7732</v>
      </c>
      <c r="AH425" s="2" t="s">
        <v>86</v>
      </c>
      <c r="AI425" s="2" t="s">
        <v>7733</v>
      </c>
      <c r="AJ425" s="2" t="s">
        <v>7734</v>
      </c>
      <c r="AK425" s="2" t="s">
        <v>342</v>
      </c>
      <c r="AL425" s="4">
        <v>2020</v>
      </c>
      <c r="AM425" s="4">
        <v>9</v>
      </c>
      <c r="AN425" s="4">
        <v>2</v>
      </c>
      <c r="AO425" s="2" t="s">
        <v>86</v>
      </c>
      <c r="AP425" s="2" t="s">
        <v>86</v>
      </c>
      <c r="AQ425" s="2" t="s">
        <v>86</v>
      </c>
      <c r="AR425" s="2" t="s">
        <v>86</v>
      </c>
      <c r="AS425" s="4">
        <v>135</v>
      </c>
      <c r="AT425" s="4">
        <v>150</v>
      </c>
      <c r="AU425" s="2" t="s">
        <v>86</v>
      </c>
      <c r="AV425" s="2" t="s">
        <v>86</v>
      </c>
      <c r="AW425" s="2" t="s">
        <v>86</v>
      </c>
      <c r="AX425" s="4">
        <v>16</v>
      </c>
      <c r="AY425" s="2" t="s">
        <v>5403</v>
      </c>
      <c r="AZ425" s="2" t="s">
        <v>171</v>
      </c>
      <c r="BA425" s="2" t="s">
        <v>345</v>
      </c>
      <c r="BB425" s="2" t="s">
        <v>7735</v>
      </c>
      <c r="BC425" s="2" t="s">
        <v>86</v>
      </c>
      <c r="BD425" s="2" t="s">
        <v>86</v>
      </c>
      <c r="BE425" s="2" t="s">
        <v>86</v>
      </c>
      <c r="BF425" s="2" t="s">
        <v>86</v>
      </c>
      <c r="BG425" s="2" t="s">
        <v>95</v>
      </c>
      <c r="BH425" s="2" t="s">
        <v>7736</v>
      </c>
      <c r="BI425" s="2" t="str">
        <f>HYPERLINK("https%3A%2F%2Fwww.webofscience.com%2Fwos%2Fwoscc%2Ffull-record%2FWOS:000554490300004","View Full Record in Web of Science")</f>
        <v>View Full Record in Web of Science</v>
      </c>
    </row>
    <row r="426" spans="1:61" customFormat="1" ht="12.75" x14ac:dyDescent="0.2">
      <c r="A426" s="1">
        <v>423</v>
      </c>
      <c r="B426" s="1" t="s">
        <v>1068</v>
      </c>
      <c r="C426" s="1" t="s">
        <v>7737</v>
      </c>
      <c r="D426" s="2" t="s">
        <v>7738</v>
      </c>
      <c r="E426" s="2" t="s">
        <v>7739</v>
      </c>
      <c r="F426" s="3" t="str">
        <f>HYPERLINK("http://dx.doi.org/10.1016/j.bjps.2008.08.070","http://dx.doi.org/10.1016/j.bjps.2008.08.070")</f>
        <v>http://dx.doi.org/10.1016/j.bjps.2008.08.070</v>
      </c>
      <c r="G426" s="2" t="s">
        <v>200</v>
      </c>
      <c r="H426" s="2" t="s">
        <v>7740</v>
      </c>
      <c r="I426" s="2" t="s">
        <v>7741</v>
      </c>
      <c r="J426" s="2" t="s">
        <v>7742</v>
      </c>
      <c r="K426" s="2" t="s">
        <v>68</v>
      </c>
      <c r="L426" s="2" t="s">
        <v>7743</v>
      </c>
      <c r="M426" s="2" t="s">
        <v>7744</v>
      </c>
      <c r="N426" s="2" t="s">
        <v>7745</v>
      </c>
      <c r="O426" s="2" t="s">
        <v>7746</v>
      </c>
      <c r="P426" s="2" t="s">
        <v>7747</v>
      </c>
      <c r="Q426" s="2" t="s">
        <v>7748</v>
      </c>
      <c r="R426" s="2" t="s">
        <v>7749</v>
      </c>
      <c r="S426" s="2" t="s">
        <v>7750</v>
      </c>
      <c r="T426" s="2" t="s">
        <v>86</v>
      </c>
      <c r="U426" s="2" t="s">
        <v>86</v>
      </c>
      <c r="V426" s="2" t="s">
        <v>86</v>
      </c>
      <c r="W426" s="2" t="s">
        <v>80</v>
      </c>
      <c r="X426" s="4">
        <v>20</v>
      </c>
      <c r="Y426" s="4">
        <v>13</v>
      </c>
      <c r="Z426" s="4">
        <v>16</v>
      </c>
      <c r="AA426" s="4">
        <v>2</v>
      </c>
      <c r="AB426" s="4">
        <v>15</v>
      </c>
      <c r="AC426" s="2" t="s">
        <v>114</v>
      </c>
      <c r="AD426" s="2" t="s">
        <v>115</v>
      </c>
      <c r="AE426" s="2" t="s">
        <v>116</v>
      </c>
      <c r="AF426" s="2" t="s">
        <v>7751</v>
      </c>
      <c r="AG426" s="2" t="s">
        <v>7752</v>
      </c>
      <c r="AH426" s="2" t="s">
        <v>86</v>
      </c>
      <c r="AI426" s="2" t="s">
        <v>7753</v>
      </c>
      <c r="AJ426" s="2" t="s">
        <v>7754</v>
      </c>
      <c r="AK426" s="2" t="s">
        <v>534</v>
      </c>
      <c r="AL426" s="4">
        <v>2010</v>
      </c>
      <c r="AM426" s="4">
        <v>63</v>
      </c>
      <c r="AN426" s="4">
        <v>1</v>
      </c>
      <c r="AO426" s="2" t="s">
        <v>86</v>
      </c>
      <c r="AP426" s="2" t="s">
        <v>86</v>
      </c>
      <c r="AQ426" s="2" t="s">
        <v>86</v>
      </c>
      <c r="AR426" s="2" t="s">
        <v>86</v>
      </c>
      <c r="AS426" s="4">
        <v>184</v>
      </c>
      <c r="AT426" s="4">
        <v>188</v>
      </c>
      <c r="AU426" s="2" t="s">
        <v>86</v>
      </c>
      <c r="AV426" s="2" t="s">
        <v>86</v>
      </c>
      <c r="AW426" s="2" t="s">
        <v>86</v>
      </c>
      <c r="AX426" s="4">
        <v>5</v>
      </c>
      <c r="AY426" s="2" t="s">
        <v>5289</v>
      </c>
      <c r="AZ426" s="2" t="s">
        <v>92</v>
      </c>
      <c r="BA426" s="2" t="s">
        <v>5289</v>
      </c>
      <c r="BB426" s="2" t="s">
        <v>7755</v>
      </c>
      <c r="BC426" s="4">
        <v>19131291</v>
      </c>
      <c r="BD426" s="2" t="s">
        <v>86</v>
      </c>
      <c r="BE426" s="2" t="s">
        <v>86</v>
      </c>
      <c r="BF426" s="2" t="s">
        <v>86</v>
      </c>
      <c r="BG426" s="2" t="s">
        <v>95</v>
      </c>
      <c r="BH426" s="2" t="s">
        <v>7756</v>
      </c>
      <c r="BI426" s="2" t="str">
        <f>HYPERLINK("https%3A%2F%2Fwww.webofscience.com%2Fwos%2Fwoscc%2Ffull-record%2FWOS:000273078600030","View Full Record in Web of Science")</f>
        <v>View Full Record in Web of Science</v>
      </c>
    </row>
    <row r="427" spans="1:61" customFormat="1" ht="12.75" x14ac:dyDescent="0.2">
      <c r="A427" s="1">
        <v>424</v>
      </c>
      <c r="B427" s="1" t="s">
        <v>1068</v>
      </c>
      <c r="C427" s="1" t="s">
        <v>7757</v>
      </c>
      <c r="D427" s="2" t="s">
        <v>7758</v>
      </c>
      <c r="E427" s="2" t="s">
        <v>7759</v>
      </c>
      <c r="F427" s="3" t="str">
        <f>HYPERLINK("http://dx.doi.org/10.1016/j.wasman.2022.09.016","http://dx.doi.org/10.1016/j.wasman.2022.09.016")</f>
        <v>http://dx.doi.org/10.1016/j.wasman.2022.09.016</v>
      </c>
      <c r="G427" s="2" t="s">
        <v>200</v>
      </c>
      <c r="H427" s="2" t="s">
        <v>833</v>
      </c>
      <c r="I427" s="2" t="s">
        <v>7760</v>
      </c>
      <c r="J427" s="2" t="s">
        <v>3219</v>
      </c>
      <c r="K427" s="2" t="s">
        <v>68</v>
      </c>
      <c r="L427" s="2" t="s">
        <v>7761</v>
      </c>
      <c r="M427" s="2" t="s">
        <v>7762</v>
      </c>
      <c r="N427" s="2" t="s">
        <v>7763</v>
      </c>
      <c r="O427" s="2" t="s">
        <v>7764</v>
      </c>
      <c r="P427" s="2" t="s">
        <v>839</v>
      </c>
      <c r="Q427" s="2" t="s">
        <v>840</v>
      </c>
      <c r="R427" s="2" t="s">
        <v>86</v>
      </c>
      <c r="S427" s="2" t="s">
        <v>7765</v>
      </c>
      <c r="T427" s="2" t="s">
        <v>7766</v>
      </c>
      <c r="U427" s="2" t="s">
        <v>7767</v>
      </c>
      <c r="V427" s="2" t="s">
        <v>7768</v>
      </c>
      <c r="W427" s="2" t="s">
        <v>80</v>
      </c>
      <c r="X427" s="4">
        <v>67</v>
      </c>
      <c r="Y427" s="4">
        <v>5</v>
      </c>
      <c r="Z427" s="4">
        <v>5</v>
      </c>
      <c r="AA427" s="4">
        <v>25</v>
      </c>
      <c r="AB427" s="4">
        <v>44</v>
      </c>
      <c r="AC427" s="2" t="s">
        <v>237</v>
      </c>
      <c r="AD427" s="2" t="s">
        <v>115</v>
      </c>
      <c r="AE427" s="2" t="s">
        <v>238</v>
      </c>
      <c r="AF427" s="2" t="s">
        <v>3226</v>
      </c>
      <c r="AG427" s="2" t="s">
        <v>3227</v>
      </c>
      <c r="AH427" s="2" t="s">
        <v>86</v>
      </c>
      <c r="AI427" s="2" t="s">
        <v>3228</v>
      </c>
      <c r="AJ427" s="2" t="s">
        <v>3229</v>
      </c>
      <c r="AK427" s="2" t="s">
        <v>121</v>
      </c>
      <c r="AL427" s="4">
        <v>2022</v>
      </c>
      <c r="AM427" s="4">
        <v>153</v>
      </c>
      <c r="AN427" s="2" t="s">
        <v>86</v>
      </c>
      <c r="AO427" s="2" t="s">
        <v>86</v>
      </c>
      <c r="AP427" s="2" t="s">
        <v>86</v>
      </c>
      <c r="AQ427" s="2" t="s">
        <v>86</v>
      </c>
      <c r="AR427" s="2" t="s">
        <v>86</v>
      </c>
      <c r="AS427" s="4">
        <v>376</v>
      </c>
      <c r="AT427" s="4">
        <v>385</v>
      </c>
      <c r="AU427" s="2" t="s">
        <v>86</v>
      </c>
      <c r="AV427" s="2" t="s">
        <v>86</v>
      </c>
      <c r="AW427" s="2" t="s">
        <v>657</v>
      </c>
      <c r="AX427" s="4">
        <v>10</v>
      </c>
      <c r="AY427" s="2" t="s">
        <v>567</v>
      </c>
      <c r="AZ427" s="2" t="s">
        <v>92</v>
      </c>
      <c r="BA427" s="2" t="s">
        <v>568</v>
      </c>
      <c r="BB427" s="2" t="s">
        <v>7769</v>
      </c>
      <c r="BC427" s="4">
        <v>36194914</v>
      </c>
      <c r="BD427" s="2" t="s">
        <v>86</v>
      </c>
      <c r="BE427" s="2" t="s">
        <v>86</v>
      </c>
      <c r="BF427" s="2" t="s">
        <v>86</v>
      </c>
      <c r="BG427" s="2" t="s">
        <v>95</v>
      </c>
      <c r="BH427" s="2" t="s">
        <v>7770</v>
      </c>
      <c r="BI427" s="2" t="str">
        <f>HYPERLINK("https%3A%2F%2Fwww.webofscience.com%2Fwos%2Fwoscc%2Ffull-record%2FWOS:000868915000006","View Full Record in Web of Science")</f>
        <v>View Full Record in Web of Science</v>
      </c>
    </row>
    <row r="428" spans="1:61" customFormat="1" ht="12.75" x14ac:dyDescent="0.2">
      <c r="A428" s="1">
        <v>425</v>
      </c>
      <c r="B428" s="1" t="s">
        <v>1068</v>
      </c>
      <c r="C428" s="1" t="s">
        <v>7771</v>
      </c>
      <c r="D428" s="2" t="s">
        <v>7772</v>
      </c>
      <c r="E428" s="2" t="s">
        <v>7773</v>
      </c>
      <c r="F428" s="3" t="str">
        <f>HYPERLINK("http://dx.doi.org/10.7764/RDLC.20.2.308","http://dx.doi.org/10.7764/RDLC.20.2.308")</f>
        <v>http://dx.doi.org/10.7764/RDLC.20.2.308</v>
      </c>
      <c r="G428" s="2" t="s">
        <v>200</v>
      </c>
      <c r="H428" s="2" t="s">
        <v>7774</v>
      </c>
      <c r="I428" s="2" t="s">
        <v>7775</v>
      </c>
      <c r="J428" s="2" t="s">
        <v>7776</v>
      </c>
      <c r="K428" s="2" t="s">
        <v>68</v>
      </c>
      <c r="L428" s="2" t="s">
        <v>7777</v>
      </c>
      <c r="M428" s="2" t="s">
        <v>7778</v>
      </c>
      <c r="N428" s="2" t="s">
        <v>7779</v>
      </c>
      <c r="O428" s="2" t="s">
        <v>7780</v>
      </c>
      <c r="P428" s="2" t="s">
        <v>7781</v>
      </c>
      <c r="Q428" s="2" t="s">
        <v>7782</v>
      </c>
      <c r="R428" s="2" t="s">
        <v>86</v>
      </c>
      <c r="S428" s="2" t="s">
        <v>86</v>
      </c>
      <c r="T428" s="2" t="s">
        <v>86</v>
      </c>
      <c r="U428" s="2" t="s">
        <v>86</v>
      </c>
      <c r="V428" s="2" t="s">
        <v>86</v>
      </c>
      <c r="W428" s="2" t="s">
        <v>80</v>
      </c>
      <c r="X428" s="4">
        <v>42</v>
      </c>
      <c r="Y428" s="4">
        <v>0</v>
      </c>
      <c r="Z428" s="4">
        <v>0</v>
      </c>
      <c r="AA428" s="4">
        <v>2</v>
      </c>
      <c r="AB428" s="4">
        <v>7</v>
      </c>
      <c r="AC428" s="2" t="s">
        <v>7783</v>
      </c>
      <c r="AD428" s="2" t="s">
        <v>7784</v>
      </c>
      <c r="AE428" s="2" t="s">
        <v>7785</v>
      </c>
      <c r="AF428" s="2" t="s">
        <v>7786</v>
      </c>
      <c r="AG428" s="2" t="s">
        <v>86</v>
      </c>
      <c r="AH428" s="2" t="s">
        <v>86</v>
      </c>
      <c r="AI428" s="2" t="s">
        <v>7787</v>
      </c>
      <c r="AJ428" s="2" t="s">
        <v>7788</v>
      </c>
      <c r="AK428" s="2" t="s">
        <v>1220</v>
      </c>
      <c r="AL428" s="4">
        <v>2021</v>
      </c>
      <c r="AM428" s="4">
        <v>20</v>
      </c>
      <c r="AN428" s="4">
        <v>2</v>
      </c>
      <c r="AO428" s="2" t="s">
        <v>86</v>
      </c>
      <c r="AP428" s="2" t="s">
        <v>86</v>
      </c>
      <c r="AQ428" s="2" t="s">
        <v>86</v>
      </c>
      <c r="AR428" s="2" t="s">
        <v>86</v>
      </c>
      <c r="AS428" s="4">
        <v>308</v>
      </c>
      <c r="AT428" s="4">
        <v>320</v>
      </c>
      <c r="AU428" s="2" t="s">
        <v>86</v>
      </c>
      <c r="AV428" s="2" t="s">
        <v>86</v>
      </c>
      <c r="AW428" s="2" t="s">
        <v>86</v>
      </c>
      <c r="AX428" s="4">
        <v>13</v>
      </c>
      <c r="AY428" s="2" t="s">
        <v>7789</v>
      </c>
      <c r="AZ428" s="2" t="s">
        <v>92</v>
      </c>
      <c r="BA428" s="2" t="s">
        <v>7790</v>
      </c>
      <c r="BB428" s="2" t="s">
        <v>7791</v>
      </c>
      <c r="BC428" s="2" t="s">
        <v>86</v>
      </c>
      <c r="BD428" s="2" t="s">
        <v>659</v>
      </c>
      <c r="BE428" s="2" t="s">
        <v>86</v>
      </c>
      <c r="BF428" s="2" t="s">
        <v>86</v>
      </c>
      <c r="BG428" s="2" t="s">
        <v>95</v>
      </c>
      <c r="BH428" s="2" t="s">
        <v>7792</v>
      </c>
      <c r="BI428" s="2" t="str">
        <f>HYPERLINK("https%3A%2F%2Fwww.webofscience.com%2Fwos%2Fwoscc%2Ffull-record%2FWOS:000698685000008","View Full Record in Web of Science")</f>
        <v>View Full Record in Web of Science</v>
      </c>
    </row>
    <row r="429" spans="1:61" customFormat="1" ht="12.75" x14ac:dyDescent="0.2">
      <c r="A429" s="1">
        <v>426</v>
      </c>
      <c r="B429" s="1" t="s">
        <v>1068</v>
      </c>
      <c r="C429" s="1" t="s">
        <v>7793</v>
      </c>
      <c r="D429" s="2" t="s">
        <v>7794</v>
      </c>
      <c r="E429" s="2" t="s">
        <v>7795</v>
      </c>
      <c r="F429" s="3" t="str">
        <f>HYPERLINK("http://dx.doi.org/10.30621/jbachs.1091746","http://dx.doi.org/10.30621/jbachs.1091746")</f>
        <v>http://dx.doi.org/10.30621/jbachs.1091746</v>
      </c>
      <c r="G429" s="2" t="s">
        <v>200</v>
      </c>
      <c r="H429" s="2" t="s">
        <v>7796</v>
      </c>
      <c r="I429" s="2" t="s">
        <v>7797</v>
      </c>
      <c r="J429" s="2" t="s">
        <v>7146</v>
      </c>
      <c r="K429" s="2" t="s">
        <v>68</v>
      </c>
      <c r="L429" s="2" t="s">
        <v>7798</v>
      </c>
      <c r="M429" s="2" t="s">
        <v>7799</v>
      </c>
      <c r="N429" s="2" t="s">
        <v>7800</v>
      </c>
      <c r="O429" s="2" t="s">
        <v>7801</v>
      </c>
      <c r="P429" s="2" t="s">
        <v>7802</v>
      </c>
      <c r="Q429" s="2" t="s">
        <v>7803</v>
      </c>
      <c r="R429" s="2" t="s">
        <v>7804</v>
      </c>
      <c r="S429" s="2" t="s">
        <v>7805</v>
      </c>
      <c r="T429" s="2" t="s">
        <v>86</v>
      </c>
      <c r="U429" s="2" t="s">
        <v>86</v>
      </c>
      <c r="V429" s="2" t="s">
        <v>86</v>
      </c>
      <c r="W429" s="2" t="s">
        <v>80</v>
      </c>
      <c r="X429" s="4">
        <v>42</v>
      </c>
      <c r="Y429" s="4">
        <v>0</v>
      </c>
      <c r="Z429" s="4">
        <v>0</v>
      </c>
      <c r="AA429" s="4">
        <v>0</v>
      </c>
      <c r="AB429" s="4">
        <v>0</v>
      </c>
      <c r="AC429" s="2" t="s">
        <v>7154</v>
      </c>
      <c r="AD429" s="2" t="s">
        <v>7155</v>
      </c>
      <c r="AE429" s="2" t="s">
        <v>7156</v>
      </c>
      <c r="AF429" s="2" t="s">
        <v>7157</v>
      </c>
      <c r="AG429" s="2" t="s">
        <v>7158</v>
      </c>
      <c r="AH429" s="2" t="s">
        <v>86</v>
      </c>
      <c r="AI429" s="2" t="s">
        <v>7159</v>
      </c>
      <c r="AJ429" s="2" t="s">
        <v>7160</v>
      </c>
      <c r="AK429" s="2" t="s">
        <v>86</v>
      </c>
      <c r="AL429" s="4">
        <v>2023</v>
      </c>
      <c r="AM429" s="4">
        <v>7</v>
      </c>
      <c r="AN429" s="4">
        <v>1</v>
      </c>
      <c r="AO429" s="2" t="s">
        <v>86</v>
      </c>
      <c r="AP429" s="2" t="s">
        <v>86</v>
      </c>
      <c r="AQ429" s="2" t="s">
        <v>86</v>
      </c>
      <c r="AR429" s="2" t="s">
        <v>86</v>
      </c>
      <c r="AS429" s="4">
        <v>251</v>
      </c>
      <c r="AT429" s="4">
        <v>259</v>
      </c>
      <c r="AU429" s="2" t="s">
        <v>86</v>
      </c>
      <c r="AV429" s="2" t="s">
        <v>86</v>
      </c>
      <c r="AW429" s="2" t="s">
        <v>86</v>
      </c>
      <c r="AX429" s="4">
        <v>9</v>
      </c>
      <c r="AY429" s="2" t="s">
        <v>7161</v>
      </c>
      <c r="AZ429" s="2" t="s">
        <v>171</v>
      </c>
      <c r="BA429" s="2" t="s">
        <v>7161</v>
      </c>
      <c r="BB429" s="2" t="s">
        <v>7806</v>
      </c>
      <c r="BC429" s="2" t="s">
        <v>86</v>
      </c>
      <c r="BD429" s="2" t="s">
        <v>723</v>
      </c>
      <c r="BE429" s="2" t="s">
        <v>86</v>
      </c>
      <c r="BF429" s="2" t="s">
        <v>86</v>
      </c>
      <c r="BG429" s="2" t="s">
        <v>95</v>
      </c>
      <c r="BH429" s="2" t="s">
        <v>7807</v>
      </c>
      <c r="BI429" s="2" t="str">
        <f>HYPERLINK("https%3A%2F%2Fwww.webofscience.com%2Fwos%2Fwoscc%2Ffull-record%2FWOS:000933151700026","View Full Record in Web of Science")</f>
        <v>View Full Record in Web of Science</v>
      </c>
    </row>
    <row r="430" spans="1:61" customFormat="1" ht="12.75" x14ac:dyDescent="0.2">
      <c r="A430" s="1">
        <v>427</v>
      </c>
      <c r="B430" s="1" t="s">
        <v>1068</v>
      </c>
      <c r="C430" s="1" t="s">
        <v>7808</v>
      </c>
      <c r="D430" s="2" t="s">
        <v>7809</v>
      </c>
      <c r="E430" s="2" t="s">
        <v>7810</v>
      </c>
      <c r="F430" s="3" t="str">
        <f>HYPERLINK("http://dx.doi.org/10.1111/jfpp.15392","http://dx.doi.org/10.1111/jfpp.15392")</f>
        <v>http://dx.doi.org/10.1111/jfpp.15392</v>
      </c>
      <c r="G430" s="2" t="s">
        <v>200</v>
      </c>
      <c r="H430" s="2" t="s">
        <v>7811</v>
      </c>
      <c r="I430" s="2" t="s">
        <v>7812</v>
      </c>
      <c r="J430" s="2" t="s">
        <v>7813</v>
      </c>
      <c r="K430" s="2" t="s">
        <v>68</v>
      </c>
      <c r="L430" s="2" t="s">
        <v>86</v>
      </c>
      <c r="M430" s="2" t="s">
        <v>86</v>
      </c>
      <c r="N430" s="2" t="s">
        <v>7814</v>
      </c>
      <c r="O430" s="2" t="s">
        <v>7815</v>
      </c>
      <c r="P430" s="2" t="s">
        <v>7816</v>
      </c>
      <c r="Q430" s="2" t="s">
        <v>7817</v>
      </c>
      <c r="R430" s="2" t="s">
        <v>7818</v>
      </c>
      <c r="S430" s="2" t="s">
        <v>7819</v>
      </c>
      <c r="T430" s="2" t="s">
        <v>7820</v>
      </c>
      <c r="U430" s="2" t="s">
        <v>7821</v>
      </c>
      <c r="V430" s="2" t="s">
        <v>7822</v>
      </c>
      <c r="W430" s="2" t="s">
        <v>80</v>
      </c>
      <c r="X430" s="4">
        <v>57</v>
      </c>
      <c r="Y430" s="4">
        <v>5</v>
      </c>
      <c r="Z430" s="4">
        <v>5</v>
      </c>
      <c r="AA430" s="4">
        <v>4</v>
      </c>
      <c r="AB430" s="4">
        <v>13</v>
      </c>
      <c r="AC430" s="2" t="s">
        <v>956</v>
      </c>
      <c r="AD430" s="2" t="s">
        <v>957</v>
      </c>
      <c r="AE430" s="2" t="s">
        <v>958</v>
      </c>
      <c r="AF430" s="2" t="s">
        <v>7823</v>
      </c>
      <c r="AG430" s="2" t="s">
        <v>7824</v>
      </c>
      <c r="AH430" s="2" t="s">
        <v>86</v>
      </c>
      <c r="AI430" s="2" t="s">
        <v>7825</v>
      </c>
      <c r="AJ430" s="2" t="s">
        <v>7826</v>
      </c>
      <c r="AK430" s="2" t="s">
        <v>1220</v>
      </c>
      <c r="AL430" s="4">
        <v>2021</v>
      </c>
      <c r="AM430" s="4">
        <v>45</v>
      </c>
      <c r="AN430" s="4">
        <v>5</v>
      </c>
      <c r="AO430" s="2" t="s">
        <v>86</v>
      </c>
      <c r="AP430" s="2" t="s">
        <v>86</v>
      </c>
      <c r="AQ430" s="2" t="s">
        <v>86</v>
      </c>
      <c r="AR430" s="2" t="s">
        <v>86</v>
      </c>
      <c r="AS430" s="2" t="s">
        <v>86</v>
      </c>
      <c r="AT430" s="2" t="s">
        <v>86</v>
      </c>
      <c r="AU430" s="2" t="s">
        <v>7827</v>
      </c>
      <c r="AV430" s="2" t="s">
        <v>86</v>
      </c>
      <c r="AW430" s="2" t="s">
        <v>468</v>
      </c>
      <c r="AX430" s="4">
        <v>11</v>
      </c>
      <c r="AY430" s="2" t="s">
        <v>965</v>
      </c>
      <c r="AZ430" s="2" t="s">
        <v>92</v>
      </c>
      <c r="BA430" s="2" t="s">
        <v>965</v>
      </c>
      <c r="BB430" s="2" t="s">
        <v>7828</v>
      </c>
      <c r="BC430" s="2" t="s">
        <v>86</v>
      </c>
      <c r="BD430" s="2" t="s">
        <v>321</v>
      </c>
      <c r="BE430" s="2" t="s">
        <v>86</v>
      </c>
      <c r="BF430" s="2" t="s">
        <v>86</v>
      </c>
      <c r="BG430" s="2" t="s">
        <v>95</v>
      </c>
      <c r="BH430" s="2" t="s">
        <v>7829</v>
      </c>
      <c r="BI430" s="2" t="str">
        <f>HYPERLINK("https%3A%2F%2Fwww.webofscience.com%2Fwos%2Fwoscc%2Ffull-record%2FWOS:000622414300001","View Full Record in Web of Science")</f>
        <v>View Full Record in Web of Science</v>
      </c>
    </row>
    <row r="431" spans="1:61" customFormat="1" ht="12.75" x14ac:dyDescent="0.2">
      <c r="A431" s="1">
        <v>428</v>
      </c>
      <c r="B431" s="1" t="s">
        <v>1068</v>
      </c>
      <c r="C431" s="1" t="s">
        <v>7830</v>
      </c>
      <c r="D431" s="2" t="s">
        <v>7831</v>
      </c>
      <c r="E431" s="2" t="s">
        <v>7832</v>
      </c>
      <c r="F431" s="3" t="str">
        <f>HYPERLINK("http://dx.doi.org/10.1016/j.scitotenv.2020.143412","http://dx.doi.org/10.1016/j.scitotenv.2020.143412")</f>
        <v>http://dx.doi.org/10.1016/j.scitotenv.2020.143412</v>
      </c>
      <c r="G431" s="2" t="s">
        <v>200</v>
      </c>
      <c r="H431" s="2" t="s">
        <v>7833</v>
      </c>
      <c r="I431" s="2" t="s">
        <v>7834</v>
      </c>
      <c r="J431" s="2" t="s">
        <v>576</v>
      </c>
      <c r="K431" s="2" t="s">
        <v>68</v>
      </c>
      <c r="L431" s="2" t="s">
        <v>7835</v>
      </c>
      <c r="M431" s="2" t="s">
        <v>7836</v>
      </c>
      <c r="N431" s="2" t="s">
        <v>7837</v>
      </c>
      <c r="O431" s="2" t="s">
        <v>7838</v>
      </c>
      <c r="P431" s="2" t="s">
        <v>7839</v>
      </c>
      <c r="Q431" s="2" t="s">
        <v>7840</v>
      </c>
      <c r="R431" s="2" t="s">
        <v>7841</v>
      </c>
      <c r="S431" s="2" t="s">
        <v>7842</v>
      </c>
      <c r="T431" s="2" t="s">
        <v>7843</v>
      </c>
      <c r="U431" s="2" t="s">
        <v>7844</v>
      </c>
      <c r="V431" s="2" t="s">
        <v>7845</v>
      </c>
      <c r="W431" s="2" t="s">
        <v>80</v>
      </c>
      <c r="X431" s="4">
        <v>55</v>
      </c>
      <c r="Y431" s="4">
        <v>17</v>
      </c>
      <c r="Z431" s="4">
        <v>19</v>
      </c>
      <c r="AA431" s="4">
        <v>10</v>
      </c>
      <c r="AB431" s="4">
        <v>124</v>
      </c>
      <c r="AC431" s="2" t="s">
        <v>585</v>
      </c>
      <c r="AD431" s="2" t="s">
        <v>586</v>
      </c>
      <c r="AE431" s="2" t="s">
        <v>587</v>
      </c>
      <c r="AF431" s="2" t="s">
        <v>588</v>
      </c>
      <c r="AG431" s="2" t="s">
        <v>589</v>
      </c>
      <c r="AH431" s="2" t="s">
        <v>86</v>
      </c>
      <c r="AI431" s="2" t="s">
        <v>590</v>
      </c>
      <c r="AJ431" s="2" t="s">
        <v>591</v>
      </c>
      <c r="AK431" s="2" t="s">
        <v>1950</v>
      </c>
      <c r="AL431" s="4">
        <v>2021</v>
      </c>
      <c r="AM431" s="4">
        <v>760</v>
      </c>
      <c r="AN431" s="2" t="s">
        <v>86</v>
      </c>
      <c r="AO431" s="2" t="s">
        <v>86</v>
      </c>
      <c r="AP431" s="2" t="s">
        <v>86</v>
      </c>
      <c r="AQ431" s="2" t="s">
        <v>86</v>
      </c>
      <c r="AR431" s="2" t="s">
        <v>86</v>
      </c>
      <c r="AS431" s="2" t="s">
        <v>86</v>
      </c>
      <c r="AT431" s="2" t="s">
        <v>86</v>
      </c>
      <c r="AU431" s="4">
        <v>143412</v>
      </c>
      <c r="AV431" s="2" t="s">
        <v>86</v>
      </c>
      <c r="AW431" s="2" t="s">
        <v>1592</v>
      </c>
      <c r="AX431" s="4">
        <v>8</v>
      </c>
      <c r="AY431" s="2" t="s">
        <v>91</v>
      </c>
      <c r="AZ431" s="2" t="s">
        <v>92</v>
      </c>
      <c r="BA431" s="2" t="s">
        <v>93</v>
      </c>
      <c r="BB431" s="2" t="s">
        <v>7846</v>
      </c>
      <c r="BC431" s="4">
        <v>33187700</v>
      </c>
      <c r="BD431" s="2" t="s">
        <v>7847</v>
      </c>
      <c r="BE431" s="2" t="s">
        <v>86</v>
      </c>
      <c r="BF431" s="2" t="s">
        <v>86</v>
      </c>
      <c r="BG431" s="2" t="s">
        <v>95</v>
      </c>
      <c r="BH431" s="2" t="s">
        <v>7848</v>
      </c>
      <c r="BI431" s="2" t="str">
        <f>HYPERLINK("https%3A%2F%2Fwww.webofscience.com%2Fwos%2Fwoscc%2Ffull-record%2FWOS:000607779400076","View Full Record in Web of Science")</f>
        <v>View Full Record in Web of Science</v>
      </c>
    </row>
    <row r="432" spans="1:61" customFormat="1" ht="12.75" x14ac:dyDescent="0.2">
      <c r="A432" s="1">
        <v>429</v>
      </c>
      <c r="B432" s="1" t="s">
        <v>1068</v>
      </c>
      <c r="C432" s="1" t="s">
        <v>7849</v>
      </c>
      <c r="D432" s="2" t="s">
        <v>7850</v>
      </c>
      <c r="E432" s="2" t="s">
        <v>7851</v>
      </c>
      <c r="F432" s="3" t="str">
        <f>HYPERLINK("http://dx.doi.org/10.1016/j.matdes.2010.01.033","http://dx.doi.org/10.1016/j.matdes.2010.01.033")</f>
        <v>http://dx.doi.org/10.1016/j.matdes.2010.01.033</v>
      </c>
      <c r="G432" s="2" t="s">
        <v>200</v>
      </c>
      <c r="H432" s="2" t="s">
        <v>7852</v>
      </c>
      <c r="I432" s="2" t="s">
        <v>7853</v>
      </c>
      <c r="J432" s="2" t="s">
        <v>7854</v>
      </c>
      <c r="K432" s="2" t="s">
        <v>68</v>
      </c>
      <c r="L432" s="2" t="s">
        <v>7855</v>
      </c>
      <c r="M432" s="2" t="s">
        <v>7856</v>
      </c>
      <c r="N432" s="2" t="s">
        <v>7857</v>
      </c>
      <c r="O432" s="2" t="s">
        <v>7858</v>
      </c>
      <c r="P432" s="2" t="s">
        <v>7859</v>
      </c>
      <c r="Q432" s="2" t="s">
        <v>7860</v>
      </c>
      <c r="R432" s="2" t="s">
        <v>7861</v>
      </c>
      <c r="S432" s="2" t="s">
        <v>7862</v>
      </c>
      <c r="T432" s="2" t="s">
        <v>86</v>
      </c>
      <c r="U432" s="2" t="s">
        <v>86</v>
      </c>
      <c r="V432" s="2" t="s">
        <v>86</v>
      </c>
      <c r="W432" s="2" t="s">
        <v>80</v>
      </c>
      <c r="X432" s="4">
        <v>31</v>
      </c>
      <c r="Y432" s="4">
        <v>19</v>
      </c>
      <c r="Z432" s="4">
        <v>20</v>
      </c>
      <c r="AA432" s="4">
        <v>1</v>
      </c>
      <c r="AB432" s="4">
        <v>33</v>
      </c>
      <c r="AC432" s="2" t="s">
        <v>114</v>
      </c>
      <c r="AD432" s="2" t="s">
        <v>115</v>
      </c>
      <c r="AE432" s="2" t="s">
        <v>116</v>
      </c>
      <c r="AF432" s="2" t="s">
        <v>7863</v>
      </c>
      <c r="AG432" s="2" t="s">
        <v>7864</v>
      </c>
      <c r="AH432" s="2" t="s">
        <v>86</v>
      </c>
      <c r="AI432" s="2" t="s">
        <v>7865</v>
      </c>
      <c r="AJ432" s="2" t="s">
        <v>7866</v>
      </c>
      <c r="AK432" s="2" t="s">
        <v>342</v>
      </c>
      <c r="AL432" s="4">
        <v>2010</v>
      </c>
      <c r="AM432" s="4">
        <v>31</v>
      </c>
      <c r="AN432" s="4">
        <v>6</v>
      </c>
      <c r="AO432" s="2" t="s">
        <v>86</v>
      </c>
      <c r="AP432" s="2" t="s">
        <v>86</v>
      </c>
      <c r="AQ432" s="2" t="s">
        <v>86</v>
      </c>
      <c r="AR432" s="2" t="s">
        <v>86</v>
      </c>
      <c r="AS432" s="4">
        <v>2707</v>
      </c>
      <c r="AT432" s="4">
        <v>2715</v>
      </c>
      <c r="AU432" s="2" t="s">
        <v>86</v>
      </c>
      <c r="AV432" s="2" t="s">
        <v>86</v>
      </c>
      <c r="AW432" s="2" t="s">
        <v>86</v>
      </c>
      <c r="AX432" s="4">
        <v>9</v>
      </c>
      <c r="AY432" s="2" t="s">
        <v>5833</v>
      </c>
      <c r="AZ432" s="2" t="s">
        <v>92</v>
      </c>
      <c r="BA432" s="2" t="s">
        <v>3123</v>
      </c>
      <c r="BB432" s="2" t="s">
        <v>7867</v>
      </c>
      <c r="BC432" s="2" t="s">
        <v>86</v>
      </c>
      <c r="BD432" s="2" t="s">
        <v>86</v>
      </c>
      <c r="BE432" s="2" t="s">
        <v>86</v>
      </c>
      <c r="BF432" s="2" t="s">
        <v>86</v>
      </c>
      <c r="BG432" s="2" t="s">
        <v>95</v>
      </c>
      <c r="BH432" s="2" t="s">
        <v>7868</v>
      </c>
      <c r="BI432" s="2" t="str">
        <f>HYPERLINK("https%3A%2F%2Fwww.webofscience.com%2Fwos%2Fwoscc%2Ffull-record%2FWOS:000276087800002","View Full Record in Web of Science")</f>
        <v>View Full Record in Web of Science</v>
      </c>
    </row>
    <row r="433" spans="1:61" customFormat="1" ht="12.75" x14ac:dyDescent="0.2">
      <c r="A433" s="1">
        <v>430</v>
      </c>
      <c r="B433" s="1" t="s">
        <v>1068</v>
      </c>
      <c r="C433" s="1" t="s">
        <v>7869</v>
      </c>
      <c r="D433" s="2" t="s">
        <v>7870</v>
      </c>
      <c r="E433" s="2" t="s">
        <v>86</v>
      </c>
      <c r="F433" s="2" t="s">
        <v>86</v>
      </c>
      <c r="G433" s="2" t="s">
        <v>200</v>
      </c>
      <c r="H433" s="2" t="s">
        <v>7871</v>
      </c>
      <c r="I433" s="2" t="s">
        <v>7872</v>
      </c>
      <c r="J433" s="2" t="s">
        <v>7277</v>
      </c>
      <c r="K433" s="2" t="s">
        <v>68</v>
      </c>
      <c r="L433" s="2" t="s">
        <v>7873</v>
      </c>
      <c r="M433" s="2" t="s">
        <v>7874</v>
      </c>
      <c r="N433" s="2" t="s">
        <v>7875</v>
      </c>
      <c r="O433" s="2" t="s">
        <v>7876</v>
      </c>
      <c r="P433" s="2" t="s">
        <v>7877</v>
      </c>
      <c r="Q433" s="2" t="s">
        <v>86</v>
      </c>
      <c r="R433" s="2" t="s">
        <v>86</v>
      </c>
      <c r="S433" s="2" t="s">
        <v>86</v>
      </c>
      <c r="T433" s="2" t="s">
        <v>7878</v>
      </c>
      <c r="U433" s="2" t="s">
        <v>7879</v>
      </c>
      <c r="V433" s="2" t="s">
        <v>7880</v>
      </c>
      <c r="W433" s="2" t="s">
        <v>80</v>
      </c>
      <c r="X433" s="4">
        <v>34</v>
      </c>
      <c r="Y433" s="4">
        <v>7</v>
      </c>
      <c r="Z433" s="4">
        <v>8</v>
      </c>
      <c r="AA433" s="4">
        <v>0</v>
      </c>
      <c r="AB433" s="4">
        <v>5</v>
      </c>
      <c r="AC433" s="2" t="s">
        <v>7285</v>
      </c>
      <c r="AD433" s="2" t="s">
        <v>5596</v>
      </c>
      <c r="AE433" s="2" t="s">
        <v>7286</v>
      </c>
      <c r="AF433" s="2" t="s">
        <v>7287</v>
      </c>
      <c r="AG433" s="2" t="s">
        <v>7465</v>
      </c>
      <c r="AH433" s="2" t="s">
        <v>86</v>
      </c>
      <c r="AI433" s="2" t="s">
        <v>7288</v>
      </c>
      <c r="AJ433" s="2" t="s">
        <v>7289</v>
      </c>
      <c r="AK433" s="2" t="s">
        <v>342</v>
      </c>
      <c r="AL433" s="4">
        <v>2008</v>
      </c>
      <c r="AM433" s="4">
        <v>7</v>
      </c>
      <c r="AN433" s="4">
        <v>6</v>
      </c>
      <c r="AO433" s="2" t="s">
        <v>86</v>
      </c>
      <c r="AP433" s="2" t="s">
        <v>86</v>
      </c>
      <c r="AQ433" s="2" t="s">
        <v>86</v>
      </c>
      <c r="AR433" s="2" t="s">
        <v>86</v>
      </c>
      <c r="AS433" s="4">
        <v>707</v>
      </c>
      <c r="AT433" s="4">
        <v>711</v>
      </c>
      <c r="AU433" s="2" t="s">
        <v>86</v>
      </c>
      <c r="AV433" s="2" t="s">
        <v>86</v>
      </c>
      <c r="AW433" s="2" t="s">
        <v>86</v>
      </c>
      <c r="AX433" s="4">
        <v>5</v>
      </c>
      <c r="AY433" s="2" t="s">
        <v>1881</v>
      </c>
      <c r="AZ433" s="2" t="s">
        <v>92</v>
      </c>
      <c r="BA433" s="2" t="s">
        <v>1881</v>
      </c>
      <c r="BB433" s="2" t="s">
        <v>7881</v>
      </c>
      <c r="BC433" s="2" t="s">
        <v>86</v>
      </c>
      <c r="BD433" s="2" t="s">
        <v>86</v>
      </c>
      <c r="BE433" s="2" t="s">
        <v>86</v>
      </c>
      <c r="BF433" s="2" t="s">
        <v>86</v>
      </c>
      <c r="BG433" s="2" t="s">
        <v>95</v>
      </c>
      <c r="BH433" s="2" t="s">
        <v>7882</v>
      </c>
      <c r="BI433" s="2" t="str">
        <f>HYPERLINK("https%3A%2F%2Fwww.webofscience.com%2Fwos%2Fwoscc%2Ffull-record%2FWOS:000262561000014","View Full Record in Web of Science")</f>
        <v>View Full Record in Web of Science</v>
      </c>
    </row>
    <row r="434" spans="1:61" customFormat="1" ht="12.75" x14ac:dyDescent="0.2">
      <c r="A434" s="1">
        <v>431</v>
      </c>
      <c r="B434" s="1" t="s">
        <v>1068</v>
      </c>
      <c r="C434" s="1" t="s">
        <v>7883</v>
      </c>
      <c r="D434" s="2" t="s">
        <v>7884</v>
      </c>
      <c r="E434" s="2" t="s">
        <v>7885</v>
      </c>
      <c r="F434" s="3" t="str">
        <f>HYPERLINK("http://dx.doi.org/10.1097/SAP.0000000000001877","http://dx.doi.org/10.1097/SAP.0000000000001877")</f>
        <v>http://dx.doi.org/10.1097/SAP.0000000000001877</v>
      </c>
      <c r="G434" s="2" t="s">
        <v>200</v>
      </c>
      <c r="H434" s="2" t="s">
        <v>7886</v>
      </c>
      <c r="I434" s="2" t="s">
        <v>7887</v>
      </c>
      <c r="J434" s="2" t="s">
        <v>7888</v>
      </c>
      <c r="K434" s="2" t="s">
        <v>68</v>
      </c>
      <c r="L434" s="2" t="s">
        <v>7889</v>
      </c>
      <c r="M434" s="2" t="s">
        <v>7890</v>
      </c>
      <c r="N434" s="2" t="s">
        <v>7891</v>
      </c>
      <c r="O434" s="2" t="s">
        <v>7892</v>
      </c>
      <c r="P434" s="2" t="s">
        <v>7893</v>
      </c>
      <c r="Q434" s="2" t="s">
        <v>7894</v>
      </c>
      <c r="R434" s="2" t="s">
        <v>7895</v>
      </c>
      <c r="S434" s="2" t="s">
        <v>86</v>
      </c>
      <c r="T434" s="2" t="s">
        <v>86</v>
      </c>
      <c r="U434" s="2" t="s">
        <v>86</v>
      </c>
      <c r="V434" s="2" t="s">
        <v>86</v>
      </c>
      <c r="W434" s="2" t="s">
        <v>80</v>
      </c>
      <c r="X434" s="4">
        <v>23</v>
      </c>
      <c r="Y434" s="4">
        <v>2</v>
      </c>
      <c r="Z434" s="4">
        <v>2</v>
      </c>
      <c r="AA434" s="4">
        <v>0</v>
      </c>
      <c r="AB434" s="4">
        <v>1</v>
      </c>
      <c r="AC434" s="2" t="s">
        <v>5944</v>
      </c>
      <c r="AD434" s="2" t="s">
        <v>261</v>
      </c>
      <c r="AE434" s="2" t="s">
        <v>5945</v>
      </c>
      <c r="AF434" s="2" t="s">
        <v>7896</v>
      </c>
      <c r="AG434" s="2" t="s">
        <v>7897</v>
      </c>
      <c r="AH434" s="2" t="s">
        <v>86</v>
      </c>
      <c r="AI434" s="2" t="s">
        <v>7898</v>
      </c>
      <c r="AJ434" s="2" t="s">
        <v>7899</v>
      </c>
      <c r="AK434" s="2" t="s">
        <v>342</v>
      </c>
      <c r="AL434" s="4">
        <v>2019</v>
      </c>
      <c r="AM434" s="4">
        <v>82</v>
      </c>
      <c r="AN434" s="4">
        <v>6</v>
      </c>
      <c r="AO434" s="2" t="s">
        <v>86</v>
      </c>
      <c r="AP434" s="2" t="s">
        <v>86</v>
      </c>
      <c r="AQ434" s="2" t="s">
        <v>86</v>
      </c>
      <c r="AR434" s="2" t="s">
        <v>86</v>
      </c>
      <c r="AS434" s="4">
        <v>692</v>
      </c>
      <c r="AT434" s="4">
        <v>699</v>
      </c>
      <c r="AU434" s="2" t="s">
        <v>86</v>
      </c>
      <c r="AV434" s="2" t="s">
        <v>86</v>
      </c>
      <c r="AW434" s="2" t="s">
        <v>86</v>
      </c>
      <c r="AX434" s="4">
        <v>8</v>
      </c>
      <c r="AY434" s="2" t="s">
        <v>5289</v>
      </c>
      <c r="AZ434" s="2" t="s">
        <v>92</v>
      </c>
      <c r="BA434" s="2" t="s">
        <v>5289</v>
      </c>
      <c r="BB434" s="2" t="s">
        <v>7900</v>
      </c>
      <c r="BC434" s="4">
        <v>31021843</v>
      </c>
      <c r="BD434" s="2" t="s">
        <v>86</v>
      </c>
      <c r="BE434" s="2" t="s">
        <v>86</v>
      </c>
      <c r="BF434" s="2" t="s">
        <v>86</v>
      </c>
      <c r="BG434" s="2" t="s">
        <v>95</v>
      </c>
      <c r="BH434" s="2" t="s">
        <v>7901</v>
      </c>
      <c r="BI434" s="2" t="str">
        <f>HYPERLINK("https%3A%2F%2Fwww.webofscience.com%2Fwos%2Fwoscc%2Ffull-record%2FWOS:000480728400020","View Full Record in Web of Science")</f>
        <v>View Full Record in Web of Science</v>
      </c>
    </row>
    <row r="435" spans="1:61" customFormat="1" ht="12.75" x14ac:dyDescent="0.2">
      <c r="A435" s="1">
        <v>432</v>
      </c>
      <c r="B435" s="1" t="s">
        <v>1068</v>
      </c>
      <c r="C435" s="1" t="s">
        <v>7902</v>
      </c>
      <c r="D435" s="2" t="s">
        <v>7903</v>
      </c>
      <c r="E435" s="2" t="s">
        <v>86</v>
      </c>
      <c r="F435" s="2" t="s">
        <v>86</v>
      </c>
      <c r="G435" s="2" t="s">
        <v>200</v>
      </c>
      <c r="H435" s="2" t="s">
        <v>7904</v>
      </c>
      <c r="I435" s="2" t="s">
        <v>7905</v>
      </c>
      <c r="J435" s="2" t="s">
        <v>7906</v>
      </c>
      <c r="K435" s="2" t="s">
        <v>68</v>
      </c>
      <c r="L435" s="2" t="s">
        <v>7907</v>
      </c>
      <c r="M435" s="2" t="s">
        <v>7908</v>
      </c>
      <c r="N435" s="2" t="s">
        <v>7909</v>
      </c>
      <c r="O435" s="2" t="s">
        <v>6496</v>
      </c>
      <c r="P435" s="2" t="s">
        <v>7910</v>
      </c>
      <c r="Q435" s="2" t="s">
        <v>7911</v>
      </c>
      <c r="R435" s="2" t="s">
        <v>7912</v>
      </c>
      <c r="S435" s="2" t="s">
        <v>7913</v>
      </c>
      <c r="T435" s="2" t="s">
        <v>7914</v>
      </c>
      <c r="U435" s="2" t="s">
        <v>7915</v>
      </c>
      <c r="V435" s="2" t="s">
        <v>7916</v>
      </c>
      <c r="W435" s="2" t="s">
        <v>80</v>
      </c>
      <c r="X435" s="4">
        <v>58</v>
      </c>
      <c r="Y435" s="4">
        <v>11</v>
      </c>
      <c r="Z435" s="4">
        <v>13</v>
      </c>
      <c r="AA435" s="4">
        <v>0</v>
      </c>
      <c r="AB435" s="4">
        <v>30</v>
      </c>
      <c r="AC435" s="2" t="s">
        <v>7917</v>
      </c>
      <c r="AD435" s="2" t="s">
        <v>605</v>
      </c>
      <c r="AE435" s="2" t="s">
        <v>7918</v>
      </c>
      <c r="AF435" s="2" t="s">
        <v>7919</v>
      </c>
      <c r="AG435" s="2" t="s">
        <v>86</v>
      </c>
      <c r="AH435" s="2" t="s">
        <v>86</v>
      </c>
      <c r="AI435" s="2" t="s">
        <v>7920</v>
      </c>
      <c r="AJ435" s="2" t="s">
        <v>7921</v>
      </c>
      <c r="AK435" s="2" t="s">
        <v>873</v>
      </c>
      <c r="AL435" s="4">
        <v>2015</v>
      </c>
      <c r="AM435" s="4">
        <v>25</v>
      </c>
      <c r="AN435" s="4">
        <v>4</v>
      </c>
      <c r="AO435" s="2" t="s">
        <v>86</v>
      </c>
      <c r="AP435" s="2" t="s">
        <v>86</v>
      </c>
      <c r="AQ435" s="2" t="s">
        <v>86</v>
      </c>
      <c r="AR435" s="2" t="s">
        <v>86</v>
      </c>
      <c r="AS435" s="4">
        <v>197</v>
      </c>
      <c r="AT435" s="4">
        <v>204</v>
      </c>
      <c r="AU435" s="2" t="s">
        <v>86</v>
      </c>
      <c r="AV435" s="2" t="s">
        <v>86</v>
      </c>
      <c r="AW435" s="2" t="s">
        <v>86</v>
      </c>
      <c r="AX435" s="4">
        <v>8</v>
      </c>
      <c r="AY435" s="2" t="s">
        <v>2113</v>
      </c>
      <c r="AZ435" s="2" t="s">
        <v>92</v>
      </c>
      <c r="BA435" s="2" t="s">
        <v>2113</v>
      </c>
      <c r="BB435" s="2" t="s">
        <v>7922</v>
      </c>
      <c r="BC435" s="2" t="s">
        <v>86</v>
      </c>
      <c r="BD435" s="2" t="s">
        <v>86</v>
      </c>
      <c r="BE435" s="2" t="s">
        <v>86</v>
      </c>
      <c r="BF435" s="2" t="s">
        <v>86</v>
      </c>
      <c r="BG435" s="2" t="s">
        <v>95</v>
      </c>
      <c r="BH435" s="2" t="s">
        <v>7923</v>
      </c>
      <c r="BI435" s="2" t="str">
        <f>HYPERLINK("https%3A%2F%2Fwww.webofscience.com%2Fwos%2Fwoscc%2Ffull-record%2FWOS:000365742000001","View Full Record in Web of Science")</f>
        <v>View Full Record in Web of Science</v>
      </c>
    </row>
    <row r="436" spans="1:61" customFormat="1" ht="12.75" x14ac:dyDescent="0.2">
      <c r="A436" s="1">
        <v>433</v>
      </c>
      <c r="B436" s="1" t="s">
        <v>1068</v>
      </c>
      <c r="C436" s="1" t="s">
        <v>7924</v>
      </c>
      <c r="D436" s="2" t="s">
        <v>7925</v>
      </c>
      <c r="E436" s="2" t="s">
        <v>7926</v>
      </c>
      <c r="F436" s="3" t="str">
        <f>HYPERLINK("http://dx.doi.org/10.1080/1064119X.2021.1938303","http://dx.doi.org/10.1080/1064119X.2021.1938303")</f>
        <v>http://dx.doi.org/10.1080/1064119X.2021.1938303</v>
      </c>
      <c r="G436" s="2" t="s">
        <v>200</v>
      </c>
      <c r="H436" s="2" t="s">
        <v>7927</v>
      </c>
      <c r="I436" s="2" t="s">
        <v>7928</v>
      </c>
      <c r="J436" s="2" t="s">
        <v>7929</v>
      </c>
      <c r="K436" s="2" t="s">
        <v>68</v>
      </c>
      <c r="L436" s="2" t="s">
        <v>7930</v>
      </c>
      <c r="M436" s="2" t="s">
        <v>7931</v>
      </c>
      <c r="N436" s="2" t="s">
        <v>7932</v>
      </c>
      <c r="O436" s="2" t="s">
        <v>5612</v>
      </c>
      <c r="P436" s="2" t="s">
        <v>7933</v>
      </c>
      <c r="Q436" s="2" t="s">
        <v>7934</v>
      </c>
      <c r="R436" s="2" t="s">
        <v>7935</v>
      </c>
      <c r="S436" s="2" t="s">
        <v>7936</v>
      </c>
      <c r="T436" s="2" t="s">
        <v>86</v>
      </c>
      <c r="U436" s="2" t="s">
        <v>86</v>
      </c>
      <c r="V436" s="2" t="s">
        <v>86</v>
      </c>
      <c r="W436" s="2" t="s">
        <v>80</v>
      </c>
      <c r="X436" s="4">
        <v>42</v>
      </c>
      <c r="Y436" s="4">
        <v>5</v>
      </c>
      <c r="Z436" s="4">
        <v>5</v>
      </c>
      <c r="AA436" s="4">
        <v>10</v>
      </c>
      <c r="AB436" s="4">
        <v>34</v>
      </c>
      <c r="AC436" s="2" t="s">
        <v>260</v>
      </c>
      <c r="AD436" s="2" t="s">
        <v>261</v>
      </c>
      <c r="AE436" s="2" t="s">
        <v>262</v>
      </c>
      <c r="AF436" s="2" t="s">
        <v>7937</v>
      </c>
      <c r="AG436" s="2" t="s">
        <v>7938</v>
      </c>
      <c r="AH436" s="2" t="s">
        <v>86</v>
      </c>
      <c r="AI436" s="2" t="s">
        <v>7939</v>
      </c>
      <c r="AJ436" s="2" t="s">
        <v>7940</v>
      </c>
      <c r="AK436" s="2" t="s">
        <v>7941</v>
      </c>
      <c r="AL436" s="4">
        <v>2022</v>
      </c>
      <c r="AM436" s="4">
        <v>40</v>
      </c>
      <c r="AN436" s="4">
        <v>7</v>
      </c>
      <c r="AO436" s="2" t="s">
        <v>86</v>
      </c>
      <c r="AP436" s="2" t="s">
        <v>86</v>
      </c>
      <c r="AQ436" s="2" t="s">
        <v>86</v>
      </c>
      <c r="AR436" s="2" t="s">
        <v>86</v>
      </c>
      <c r="AS436" s="4">
        <v>782</v>
      </c>
      <c r="AT436" s="4">
        <v>794</v>
      </c>
      <c r="AU436" s="2" t="s">
        <v>86</v>
      </c>
      <c r="AV436" s="2" t="s">
        <v>86</v>
      </c>
      <c r="AW436" s="2" t="s">
        <v>827</v>
      </c>
      <c r="AX436" s="4">
        <v>13</v>
      </c>
      <c r="AY436" s="2" t="s">
        <v>7942</v>
      </c>
      <c r="AZ436" s="2" t="s">
        <v>92</v>
      </c>
      <c r="BA436" s="2" t="s">
        <v>7943</v>
      </c>
      <c r="BB436" s="2" t="s">
        <v>7944</v>
      </c>
      <c r="BC436" s="2" t="s">
        <v>86</v>
      </c>
      <c r="BD436" s="2" t="s">
        <v>86</v>
      </c>
      <c r="BE436" s="2" t="s">
        <v>86</v>
      </c>
      <c r="BF436" s="2" t="s">
        <v>86</v>
      </c>
      <c r="BG436" s="2" t="s">
        <v>95</v>
      </c>
      <c r="BH436" s="2" t="s">
        <v>7945</v>
      </c>
      <c r="BI436" s="2" t="str">
        <f>HYPERLINK("https%3A%2F%2Fwww.webofscience.com%2Fwos%2Fwoscc%2Ffull-record%2FWOS:000661312000001","View Full Record in Web of Science")</f>
        <v>View Full Record in Web of Science</v>
      </c>
    </row>
    <row r="437" spans="1:61" customFormat="1" ht="12.75" x14ac:dyDescent="0.2">
      <c r="A437" s="1">
        <v>434</v>
      </c>
      <c r="B437" s="1" t="s">
        <v>1068</v>
      </c>
      <c r="C437" s="1" t="s">
        <v>7946</v>
      </c>
      <c r="D437" s="2" t="s">
        <v>7947</v>
      </c>
      <c r="E437" s="2" t="s">
        <v>86</v>
      </c>
      <c r="F437" s="2" t="s">
        <v>86</v>
      </c>
      <c r="G437" s="2" t="s">
        <v>200</v>
      </c>
      <c r="H437" s="2" t="s">
        <v>7948</v>
      </c>
      <c r="I437" s="2" t="s">
        <v>7949</v>
      </c>
      <c r="J437" s="2" t="s">
        <v>6100</v>
      </c>
      <c r="K437" s="2" t="s">
        <v>68</v>
      </c>
      <c r="L437" s="2" t="s">
        <v>7950</v>
      </c>
      <c r="M437" s="2" t="s">
        <v>7951</v>
      </c>
      <c r="N437" s="2" t="s">
        <v>7952</v>
      </c>
      <c r="O437" s="2" t="s">
        <v>7953</v>
      </c>
      <c r="P437" s="2" t="s">
        <v>7954</v>
      </c>
      <c r="Q437" s="2" t="s">
        <v>7955</v>
      </c>
      <c r="R437" s="2" t="s">
        <v>7956</v>
      </c>
      <c r="S437" s="2" t="s">
        <v>86</v>
      </c>
      <c r="T437" s="2" t="s">
        <v>86</v>
      </c>
      <c r="U437" s="2" t="s">
        <v>86</v>
      </c>
      <c r="V437" s="2" t="s">
        <v>86</v>
      </c>
      <c r="W437" s="2" t="s">
        <v>80</v>
      </c>
      <c r="X437" s="4">
        <v>45</v>
      </c>
      <c r="Y437" s="4">
        <v>10</v>
      </c>
      <c r="Z437" s="4">
        <v>11</v>
      </c>
      <c r="AA437" s="4">
        <v>0</v>
      </c>
      <c r="AB437" s="4">
        <v>5</v>
      </c>
      <c r="AC437" s="2" t="s">
        <v>6108</v>
      </c>
      <c r="AD437" s="2" t="s">
        <v>932</v>
      </c>
      <c r="AE437" s="2" t="s">
        <v>6109</v>
      </c>
      <c r="AF437" s="2" t="s">
        <v>6110</v>
      </c>
      <c r="AG437" s="2" t="s">
        <v>86</v>
      </c>
      <c r="AH437" s="2" t="s">
        <v>86</v>
      </c>
      <c r="AI437" s="2" t="s">
        <v>6111</v>
      </c>
      <c r="AJ437" s="2" t="s">
        <v>6112</v>
      </c>
      <c r="AK437" s="2" t="s">
        <v>86</v>
      </c>
      <c r="AL437" s="4">
        <v>2007</v>
      </c>
      <c r="AM437" s="4">
        <v>31</v>
      </c>
      <c r="AN437" s="4">
        <v>1</v>
      </c>
      <c r="AO437" s="2" t="s">
        <v>86</v>
      </c>
      <c r="AP437" s="2" t="s">
        <v>86</v>
      </c>
      <c r="AQ437" s="2" t="s">
        <v>86</v>
      </c>
      <c r="AR437" s="2" t="s">
        <v>86</v>
      </c>
      <c r="AS437" s="4">
        <v>31</v>
      </c>
      <c r="AT437" s="4">
        <v>40</v>
      </c>
      <c r="AU437" s="2" t="s">
        <v>86</v>
      </c>
      <c r="AV437" s="2" t="s">
        <v>86</v>
      </c>
      <c r="AW437" s="2" t="s">
        <v>86</v>
      </c>
      <c r="AX437" s="4">
        <v>10</v>
      </c>
      <c r="AY437" s="2" t="s">
        <v>6113</v>
      </c>
      <c r="AZ437" s="2" t="s">
        <v>92</v>
      </c>
      <c r="BA437" s="2" t="s">
        <v>6114</v>
      </c>
      <c r="BB437" s="2" t="s">
        <v>6115</v>
      </c>
      <c r="BC437" s="2" t="s">
        <v>86</v>
      </c>
      <c r="BD437" s="2" t="s">
        <v>86</v>
      </c>
      <c r="BE437" s="2" t="s">
        <v>86</v>
      </c>
      <c r="BF437" s="2" t="s">
        <v>86</v>
      </c>
      <c r="BG437" s="2" t="s">
        <v>95</v>
      </c>
      <c r="BH437" s="2" t="s">
        <v>7957</v>
      </c>
      <c r="BI437" s="2" t="str">
        <f>HYPERLINK("https%3A%2F%2Fwww.webofscience.com%2Fwos%2Fwoscc%2Ffull-record%2FWOS:000247070200004","View Full Record in Web of Science")</f>
        <v>View Full Record in Web of Science</v>
      </c>
    </row>
    <row r="438" spans="1:61" customFormat="1" ht="12.75" x14ac:dyDescent="0.2">
      <c r="A438" s="1">
        <v>435</v>
      </c>
      <c r="B438" s="1" t="s">
        <v>1068</v>
      </c>
      <c r="C438" s="1" t="s">
        <v>7958</v>
      </c>
      <c r="D438" s="2" t="s">
        <v>7959</v>
      </c>
      <c r="E438" s="2" t="s">
        <v>86</v>
      </c>
      <c r="F438" s="2" t="s">
        <v>86</v>
      </c>
      <c r="G438" s="2" t="s">
        <v>200</v>
      </c>
      <c r="H438" s="2" t="s">
        <v>7960</v>
      </c>
      <c r="I438" s="2" t="s">
        <v>7961</v>
      </c>
      <c r="J438" s="2" t="s">
        <v>7277</v>
      </c>
      <c r="K438" s="2" t="s">
        <v>68</v>
      </c>
      <c r="L438" s="2" t="s">
        <v>7962</v>
      </c>
      <c r="M438" s="2" t="s">
        <v>7963</v>
      </c>
      <c r="N438" s="2" t="s">
        <v>7964</v>
      </c>
      <c r="O438" s="2" t="s">
        <v>7965</v>
      </c>
      <c r="P438" s="2" t="s">
        <v>7966</v>
      </c>
      <c r="Q438" s="2" t="s">
        <v>86</v>
      </c>
      <c r="R438" s="2" t="s">
        <v>7967</v>
      </c>
      <c r="S438" s="2" t="s">
        <v>7968</v>
      </c>
      <c r="T438" s="2" t="s">
        <v>86</v>
      </c>
      <c r="U438" s="2" t="s">
        <v>86</v>
      </c>
      <c r="V438" s="2" t="s">
        <v>86</v>
      </c>
      <c r="W438" s="2" t="s">
        <v>80</v>
      </c>
      <c r="X438" s="4">
        <v>14</v>
      </c>
      <c r="Y438" s="4">
        <v>3</v>
      </c>
      <c r="Z438" s="4">
        <v>3</v>
      </c>
      <c r="AA438" s="4">
        <v>0</v>
      </c>
      <c r="AB438" s="4">
        <v>1</v>
      </c>
      <c r="AC438" s="2" t="s">
        <v>7285</v>
      </c>
      <c r="AD438" s="2" t="s">
        <v>5596</v>
      </c>
      <c r="AE438" s="2" t="s">
        <v>7286</v>
      </c>
      <c r="AF438" s="2" t="s">
        <v>7287</v>
      </c>
      <c r="AG438" s="2" t="s">
        <v>86</v>
      </c>
      <c r="AH438" s="2" t="s">
        <v>86</v>
      </c>
      <c r="AI438" s="2" t="s">
        <v>7288</v>
      </c>
      <c r="AJ438" s="2" t="s">
        <v>7289</v>
      </c>
      <c r="AK438" s="2" t="s">
        <v>440</v>
      </c>
      <c r="AL438" s="4">
        <v>2009</v>
      </c>
      <c r="AM438" s="4">
        <v>8</v>
      </c>
      <c r="AN438" s="4">
        <v>9</v>
      </c>
      <c r="AO438" s="2" t="s">
        <v>86</v>
      </c>
      <c r="AP438" s="2" t="s">
        <v>86</v>
      </c>
      <c r="AQ438" s="2" t="s">
        <v>86</v>
      </c>
      <c r="AR438" s="2" t="s">
        <v>86</v>
      </c>
      <c r="AS438" s="4">
        <v>1780</v>
      </c>
      <c r="AT438" s="4">
        <v>1783</v>
      </c>
      <c r="AU438" s="2" t="s">
        <v>86</v>
      </c>
      <c r="AV438" s="2" t="s">
        <v>86</v>
      </c>
      <c r="AW438" s="2" t="s">
        <v>86</v>
      </c>
      <c r="AX438" s="4">
        <v>4</v>
      </c>
      <c r="AY438" s="2" t="s">
        <v>1881</v>
      </c>
      <c r="AZ438" s="2" t="s">
        <v>92</v>
      </c>
      <c r="BA438" s="2" t="s">
        <v>1881</v>
      </c>
      <c r="BB438" s="2" t="s">
        <v>7969</v>
      </c>
      <c r="BC438" s="2" t="s">
        <v>86</v>
      </c>
      <c r="BD438" s="2" t="s">
        <v>86</v>
      </c>
      <c r="BE438" s="2" t="s">
        <v>86</v>
      </c>
      <c r="BF438" s="2" t="s">
        <v>86</v>
      </c>
      <c r="BG438" s="2" t="s">
        <v>95</v>
      </c>
      <c r="BH438" s="2" t="s">
        <v>7970</v>
      </c>
      <c r="BI438" s="2" t="str">
        <f>HYPERLINK("https%3A%2F%2Fwww.webofscience.com%2Fwos%2Fwoscc%2Ffull-record%2FWOS:000268160300019","View Full Record in Web of Science")</f>
        <v>View Full Record in Web of Science</v>
      </c>
    </row>
    <row r="439" spans="1:61" customFormat="1" ht="12.75" x14ac:dyDescent="0.2">
      <c r="A439" s="1">
        <v>436</v>
      </c>
      <c r="B439" s="1" t="s">
        <v>1068</v>
      </c>
      <c r="C439" s="1" t="s">
        <v>7971</v>
      </c>
      <c r="D439" s="2" t="s">
        <v>7972</v>
      </c>
      <c r="E439" s="2" t="s">
        <v>7973</v>
      </c>
      <c r="F439" s="3" t="str">
        <f>HYPERLINK("http://dx.doi.org/10.12989/sem.2018.67.3.233","http://dx.doi.org/10.12989/sem.2018.67.3.233")</f>
        <v>http://dx.doi.org/10.12989/sem.2018.67.3.233</v>
      </c>
      <c r="G439" s="2" t="s">
        <v>200</v>
      </c>
      <c r="H439" s="2" t="s">
        <v>7974</v>
      </c>
      <c r="I439" s="2" t="s">
        <v>7975</v>
      </c>
      <c r="J439" s="2" t="s">
        <v>7976</v>
      </c>
      <c r="K439" s="2" t="s">
        <v>68</v>
      </c>
      <c r="L439" s="2" t="s">
        <v>7977</v>
      </c>
      <c r="M439" s="2" t="s">
        <v>7978</v>
      </c>
      <c r="N439" s="2" t="s">
        <v>7979</v>
      </c>
      <c r="O439" s="2" t="s">
        <v>7980</v>
      </c>
      <c r="P439" s="2" t="s">
        <v>7981</v>
      </c>
      <c r="Q439" s="2" t="s">
        <v>7982</v>
      </c>
      <c r="R439" s="2" t="s">
        <v>7983</v>
      </c>
      <c r="S439" s="2" t="s">
        <v>7984</v>
      </c>
      <c r="T439" s="2" t="s">
        <v>7985</v>
      </c>
      <c r="U439" s="2" t="s">
        <v>7986</v>
      </c>
      <c r="V439" s="2" t="s">
        <v>7987</v>
      </c>
      <c r="W439" s="2" t="s">
        <v>80</v>
      </c>
      <c r="X439" s="4">
        <v>26</v>
      </c>
      <c r="Y439" s="4">
        <v>12</v>
      </c>
      <c r="Z439" s="4">
        <v>12</v>
      </c>
      <c r="AA439" s="4">
        <v>0</v>
      </c>
      <c r="AB439" s="4">
        <v>9</v>
      </c>
      <c r="AC439" s="2" t="s">
        <v>7728</v>
      </c>
      <c r="AD439" s="2" t="s">
        <v>7729</v>
      </c>
      <c r="AE439" s="2" t="s">
        <v>7730</v>
      </c>
      <c r="AF439" s="2" t="s">
        <v>7988</v>
      </c>
      <c r="AG439" s="2" t="s">
        <v>7989</v>
      </c>
      <c r="AH439" s="2" t="s">
        <v>86</v>
      </c>
      <c r="AI439" s="2" t="s">
        <v>7990</v>
      </c>
      <c r="AJ439" s="2" t="s">
        <v>7991</v>
      </c>
      <c r="AK439" s="2" t="s">
        <v>7992</v>
      </c>
      <c r="AL439" s="4">
        <v>2018</v>
      </c>
      <c r="AM439" s="4">
        <v>67</v>
      </c>
      <c r="AN439" s="4">
        <v>3</v>
      </c>
      <c r="AO439" s="2" t="s">
        <v>86</v>
      </c>
      <c r="AP439" s="2" t="s">
        <v>86</v>
      </c>
      <c r="AQ439" s="2" t="s">
        <v>86</v>
      </c>
      <c r="AR439" s="2" t="s">
        <v>86</v>
      </c>
      <c r="AS439" s="4">
        <v>233</v>
      </c>
      <c r="AT439" s="4">
        <v>244</v>
      </c>
      <c r="AU439" s="2" t="s">
        <v>86</v>
      </c>
      <c r="AV439" s="2" t="s">
        <v>86</v>
      </c>
      <c r="AW439" s="2" t="s">
        <v>86</v>
      </c>
      <c r="AX439" s="4">
        <v>12</v>
      </c>
      <c r="AY439" s="2" t="s">
        <v>7993</v>
      </c>
      <c r="AZ439" s="2" t="s">
        <v>92</v>
      </c>
      <c r="BA439" s="2" t="s">
        <v>345</v>
      </c>
      <c r="BB439" s="2" t="s">
        <v>7994</v>
      </c>
      <c r="BC439" s="2" t="s">
        <v>86</v>
      </c>
      <c r="BD439" s="2" t="s">
        <v>86</v>
      </c>
      <c r="BE439" s="2" t="s">
        <v>86</v>
      </c>
      <c r="BF439" s="2" t="s">
        <v>86</v>
      </c>
      <c r="BG439" s="2" t="s">
        <v>95</v>
      </c>
      <c r="BH439" s="2" t="s">
        <v>7995</v>
      </c>
      <c r="BI439" s="2" t="str">
        <f>HYPERLINK("https%3A%2F%2Fwww.webofscience.com%2Fwos%2Fwoscc%2Ffull-record%2FWOS:000440570200002","View Full Record in Web of Science")</f>
        <v>View Full Record in Web of Science</v>
      </c>
    </row>
    <row r="440" spans="1:61" customFormat="1" ht="12.75" x14ac:dyDescent="0.2">
      <c r="A440" s="1">
        <v>437</v>
      </c>
      <c r="B440" s="1" t="s">
        <v>1068</v>
      </c>
      <c r="C440" s="1" t="s">
        <v>7996</v>
      </c>
      <c r="D440" s="2" t="s">
        <v>7997</v>
      </c>
      <c r="E440" s="2" t="s">
        <v>7998</v>
      </c>
      <c r="F440" s="3" t="str">
        <f>HYPERLINK("http://dx.doi.org/10.1039/c5fo00019j","http://dx.doi.org/10.1039/c5fo00019j")</f>
        <v>http://dx.doi.org/10.1039/c5fo00019j</v>
      </c>
      <c r="G440" s="2" t="s">
        <v>200</v>
      </c>
      <c r="H440" s="2" t="s">
        <v>7999</v>
      </c>
      <c r="I440" s="2" t="s">
        <v>8000</v>
      </c>
      <c r="J440" s="2" t="s">
        <v>8001</v>
      </c>
      <c r="K440" s="2" t="s">
        <v>68</v>
      </c>
      <c r="L440" s="2" t="s">
        <v>86</v>
      </c>
      <c r="M440" s="2" t="s">
        <v>8002</v>
      </c>
      <c r="N440" s="2" t="s">
        <v>8003</v>
      </c>
      <c r="O440" s="2" t="s">
        <v>3208</v>
      </c>
      <c r="P440" s="2" t="s">
        <v>8004</v>
      </c>
      <c r="Q440" s="2" t="s">
        <v>8005</v>
      </c>
      <c r="R440" s="2" t="s">
        <v>86</v>
      </c>
      <c r="S440" s="2" t="s">
        <v>8006</v>
      </c>
      <c r="T440" s="2" t="s">
        <v>8007</v>
      </c>
      <c r="U440" s="2" t="s">
        <v>8008</v>
      </c>
      <c r="V440" s="2" t="s">
        <v>8009</v>
      </c>
      <c r="W440" s="2" t="s">
        <v>80</v>
      </c>
      <c r="X440" s="4">
        <v>33</v>
      </c>
      <c r="Y440" s="4">
        <v>100</v>
      </c>
      <c r="Z440" s="4">
        <v>105</v>
      </c>
      <c r="AA440" s="4">
        <v>4</v>
      </c>
      <c r="AB440" s="4">
        <v>152</v>
      </c>
      <c r="AC440" s="2" t="s">
        <v>4612</v>
      </c>
      <c r="AD440" s="2" t="s">
        <v>4613</v>
      </c>
      <c r="AE440" s="2" t="s">
        <v>4614</v>
      </c>
      <c r="AF440" s="2" t="s">
        <v>8010</v>
      </c>
      <c r="AG440" s="2" t="s">
        <v>8011</v>
      </c>
      <c r="AH440" s="2" t="s">
        <v>86</v>
      </c>
      <c r="AI440" s="2" t="s">
        <v>8012</v>
      </c>
      <c r="AJ440" s="2" t="s">
        <v>8013</v>
      </c>
      <c r="AK440" s="2" t="s">
        <v>86</v>
      </c>
      <c r="AL440" s="4">
        <v>2015</v>
      </c>
      <c r="AM440" s="4">
        <v>6</v>
      </c>
      <c r="AN440" s="4">
        <v>4</v>
      </c>
      <c r="AO440" s="2" t="s">
        <v>86</v>
      </c>
      <c r="AP440" s="2" t="s">
        <v>86</v>
      </c>
      <c r="AQ440" s="2" t="s">
        <v>86</v>
      </c>
      <c r="AR440" s="2" t="s">
        <v>86</v>
      </c>
      <c r="AS440" s="4">
        <v>1194</v>
      </c>
      <c r="AT440" s="4">
        <v>1204</v>
      </c>
      <c r="AU440" s="2" t="s">
        <v>86</v>
      </c>
      <c r="AV440" s="2" t="s">
        <v>86</v>
      </c>
      <c r="AW440" s="2" t="s">
        <v>86</v>
      </c>
      <c r="AX440" s="4">
        <v>11</v>
      </c>
      <c r="AY440" s="2" t="s">
        <v>8014</v>
      </c>
      <c r="AZ440" s="2" t="s">
        <v>92</v>
      </c>
      <c r="BA440" s="2" t="s">
        <v>8014</v>
      </c>
      <c r="BB440" s="2" t="s">
        <v>8015</v>
      </c>
      <c r="BC440" s="4">
        <v>25710458</v>
      </c>
      <c r="BD440" s="2" t="s">
        <v>86</v>
      </c>
      <c r="BE440" s="2" t="s">
        <v>86</v>
      </c>
      <c r="BF440" s="2" t="s">
        <v>86</v>
      </c>
      <c r="BG440" s="2" t="s">
        <v>95</v>
      </c>
      <c r="BH440" s="2" t="s">
        <v>8016</v>
      </c>
      <c r="BI440" s="2" t="str">
        <f>HYPERLINK("https%3A%2F%2Fwww.webofscience.com%2Fwos%2Fwoscc%2Ffull-record%2FWOS:000354522900015","View Full Record in Web of Science")</f>
        <v>View Full Record in Web of Science</v>
      </c>
    </row>
    <row r="441" spans="1:61" customFormat="1" ht="12.75" x14ac:dyDescent="0.2">
      <c r="A441" s="1">
        <v>438</v>
      </c>
      <c r="B441" s="1" t="s">
        <v>1068</v>
      </c>
      <c r="C441" s="1" t="s">
        <v>8017</v>
      </c>
      <c r="D441" s="2" t="s">
        <v>8018</v>
      </c>
      <c r="E441" s="2" t="s">
        <v>86</v>
      </c>
      <c r="F441" s="2" t="s">
        <v>86</v>
      </c>
      <c r="G441" s="2" t="s">
        <v>200</v>
      </c>
      <c r="H441" s="2" t="s">
        <v>8019</v>
      </c>
      <c r="I441" s="2" t="s">
        <v>8020</v>
      </c>
      <c r="J441" s="2" t="s">
        <v>8021</v>
      </c>
      <c r="K441" s="2" t="s">
        <v>68</v>
      </c>
      <c r="L441" s="2" t="s">
        <v>8022</v>
      </c>
      <c r="M441" s="2" t="s">
        <v>8023</v>
      </c>
      <c r="N441" s="2" t="s">
        <v>8024</v>
      </c>
      <c r="O441" s="2" t="s">
        <v>8025</v>
      </c>
      <c r="P441" s="2" t="s">
        <v>8026</v>
      </c>
      <c r="Q441" s="2" t="s">
        <v>8027</v>
      </c>
      <c r="R441" s="2" t="s">
        <v>8028</v>
      </c>
      <c r="S441" s="2" t="s">
        <v>8029</v>
      </c>
      <c r="T441" s="2" t="s">
        <v>8030</v>
      </c>
      <c r="U441" s="2" t="s">
        <v>8031</v>
      </c>
      <c r="V441" s="2" t="s">
        <v>8032</v>
      </c>
      <c r="W441" s="2" t="s">
        <v>80</v>
      </c>
      <c r="X441" s="4">
        <v>47</v>
      </c>
      <c r="Y441" s="4">
        <v>1</v>
      </c>
      <c r="Z441" s="4">
        <v>1</v>
      </c>
      <c r="AA441" s="4">
        <v>0</v>
      </c>
      <c r="AB441" s="4">
        <v>2</v>
      </c>
      <c r="AC441" s="2" t="s">
        <v>8033</v>
      </c>
      <c r="AD441" s="2" t="s">
        <v>8034</v>
      </c>
      <c r="AE441" s="2" t="s">
        <v>8035</v>
      </c>
      <c r="AF441" s="2" t="s">
        <v>8036</v>
      </c>
      <c r="AG441" s="2" t="s">
        <v>86</v>
      </c>
      <c r="AH441" s="2" t="s">
        <v>86</v>
      </c>
      <c r="AI441" s="2" t="s">
        <v>8037</v>
      </c>
      <c r="AJ441" s="2" t="s">
        <v>8038</v>
      </c>
      <c r="AK441" s="2" t="s">
        <v>86</v>
      </c>
      <c r="AL441" s="4">
        <v>2022</v>
      </c>
      <c r="AM441" s="4">
        <v>26</v>
      </c>
      <c r="AN441" s="4">
        <v>10</v>
      </c>
      <c r="AO441" s="2" t="s">
        <v>86</v>
      </c>
      <c r="AP441" s="2" t="s">
        <v>86</v>
      </c>
      <c r="AQ441" s="2" t="s">
        <v>86</v>
      </c>
      <c r="AR441" s="2" t="s">
        <v>86</v>
      </c>
      <c r="AS441" s="4">
        <v>3419</v>
      </c>
      <c r="AT441" s="4">
        <v>3429</v>
      </c>
      <c r="AU441" s="2" t="s">
        <v>86</v>
      </c>
      <c r="AV441" s="2" t="s">
        <v>86</v>
      </c>
      <c r="AW441" s="2" t="s">
        <v>86</v>
      </c>
      <c r="AX441" s="4">
        <v>11</v>
      </c>
      <c r="AY441" s="2" t="s">
        <v>8039</v>
      </c>
      <c r="AZ441" s="2" t="s">
        <v>92</v>
      </c>
      <c r="BA441" s="2" t="s">
        <v>8039</v>
      </c>
      <c r="BB441" s="2" t="s">
        <v>8040</v>
      </c>
      <c r="BC441" s="4">
        <v>35647821</v>
      </c>
      <c r="BD441" s="2" t="s">
        <v>86</v>
      </c>
      <c r="BE441" s="2" t="s">
        <v>86</v>
      </c>
      <c r="BF441" s="2" t="s">
        <v>86</v>
      </c>
      <c r="BG441" s="2" t="s">
        <v>95</v>
      </c>
      <c r="BH441" s="2" t="s">
        <v>8041</v>
      </c>
      <c r="BI441" s="2" t="str">
        <f>HYPERLINK("https%3A%2F%2Fwww.webofscience.com%2Fwos%2Fwoscc%2Ffull-record%2FWOS:000809239500004","View Full Record in Web of Science")</f>
        <v>View Full Record in Web of Science</v>
      </c>
    </row>
    <row r="442" spans="1:61" customFormat="1" ht="12.75" x14ac:dyDescent="0.2">
      <c r="A442" s="1">
        <v>439</v>
      </c>
      <c r="B442" s="1" t="s">
        <v>1068</v>
      </c>
      <c r="C442" s="1" t="s">
        <v>8042</v>
      </c>
      <c r="D442" s="2" t="s">
        <v>8043</v>
      </c>
      <c r="E442" s="2" t="s">
        <v>8044</v>
      </c>
      <c r="F442" s="3" t="str">
        <f>HYPERLINK("http://dx.doi.org/10.9775/kvfd.2013.8600","http://dx.doi.org/10.9775/kvfd.2013.8600")</f>
        <v>http://dx.doi.org/10.9775/kvfd.2013.8600</v>
      </c>
      <c r="G442" s="2" t="s">
        <v>200</v>
      </c>
      <c r="H442" s="2" t="s">
        <v>8045</v>
      </c>
      <c r="I442" s="2" t="s">
        <v>8046</v>
      </c>
      <c r="J442" s="2" t="s">
        <v>1868</v>
      </c>
      <c r="K442" s="2" t="s">
        <v>68</v>
      </c>
      <c r="L442" s="2" t="s">
        <v>8047</v>
      </c>
      <c r="M442" s="2" t="s">
        <v>8048</v>
      </c>
      <c r="N442" s="2" t="s">
        <v>8049</v>
      </c>
      <c r="O442" s="2" t="s">
        <v>8050</v>
      </c>
      <c r="P442" s="2" t="s">
        <v>8051</v>
      </c>
      <c r="Q442" s="2" t="s">
        <v>8052</v>
      </c>
      <c r="R442" s="2" t="s">
        <v>8053</v>
      </c>
      <c r="S442" s="2" t="s">
        <v>8054</v>
      </c>
      <c r="T442" s="2" t="s">
        <v>8055</v>
      </c>
      <c r="U442" s="2" t="s">
        <v>8056</v>
      </c>
      <c r="V442" s="2" t="s">
        <v>8057</v>
      </c>
      <c r="W442" s="2" t="s">
        <v>80</v>
      </c>
      <c r="X442" s="4">
        <v>38</v>
      </c>
      <c r="Y442" s="4">
        <v>3</v>
      </c>
      <c r="Z442" s="4">
        <v>3</v>
      </c>
      <c r="AA442" s="4">
        <v>0</v>
      </c>
      <c r="AB442" s="4">
        <v>41</v>
      </c>
      <c r="AC442" s="2" t="s">
        <v>1873</v>
      </c>
      <c r="AD442" s="2" t="s">
        <v>1874</v>
      </c>
      <c r="AE442" s="2" t="s">
        <v>1875</v>
      </c>
      <c r="AF442" s="2" t="s">
        <v>1876</v>
      </c>
      <c r="AG442" s="2" t="s">
        <v>86</v>
      </c>
      <c r="AH442" s="2" t="s">
        <v>86</v>
      </c>
      <c r="AI442" s="2" t="s">
        <v>1878</v>
      </c>
      <c r="AJ442" s="2" t="s">
        <v>1879</v>
      </c>
      <c r="AK442" s="2" t="s">
        <v>8058</v>
      </c>
      <c r="AL442" s="4">
        <v>2013</v>
      </c>
      <c r="AM442" s="4">
        <v>19</v>
      </c>
      <c r="AN442" s="4">
        <v>4</v>
      </c>
      <c r="AO442" s="2" t="s">
        <v>86</v>
      </c>
      <c r="AP442" s="2" t="s">
        <v>86</v>
      </c>
      <c r="AQ442" s="2" t="s">
        <v>86</v>
      </c>
      <c r="AR442" s="2" t="s">
        <v>86</v>
      </c>
      <c r="AS442" s="4">
        <v>647</v>
      </c>
      <c r="AT442" s="4">
        <v>653</v>
      </c>
      <c r="AU442" s="2" t="s">
        <v>86</v>
      </c>
      <c r="AV442" s="2" t="s">
        <v>86</v>
      </c>
      <c r="AW442" s="2" t="s">
        <v>86</v>
      </c>
      <c r="AX442" s="4">
        <v>7</v>
      </c>
      <c r="AY442" s="2" t="s">
        <v>1881</v>
      </c>
      <c r="AZ442" s="2" t="s">
        <v>92</v>
      </c>
      <c r="BA442" s="2" t="s">
        <v>1881</v>
      </c>
      <c r="BB442" s="2" t="s">
        <v>8059</v>
      </c>
      <c r="BC442" s="2" t="s">
        <v>86</v>
      </c>
      <c r="BD442" s="2" t="s">
        <v>86</v>
      </c>
      <c r="BE442" s="2" t="s">
        <v>86</v>
      </c>
      <c r="BF442" s="2" t="s">
        <v>86</v>
      </c>
      <c r="BG442" s="2" t="s">
        <v>95</v>
      </c>
      <c r="BH442" s="2" t="s">
        <v>8060</v>
      </c>
      <c r="BI442" s="2" t="str">
        <f>HYPERLINK("https%3A%2F%2Fwww.webofscience.com%2Fwos%2Fwoscc%2Ffull-record%2FWOS:000321751900015","View Full Record in Web of Science")</f>
        <v>View Full Record in Web of Science</v>
      </c>
    </row>
    <row r="443" spans="1:61" customFormat="1" ht="12.75" x14ac:dyDescent="0.2">
      <c r="A443" s="1">
        <v>440</v>
      </c>
      <c r="B443" s="1" t="s">
        <v>1068</v>
      </c>
      <c r="C443" s="1" t="s">
        <v>8061</v>
      </c>
      <c r="D443" s="2" t="s">
        <v>8062</v>
      </c>
      <c r="E443" s="2" t="s">
        <v>8063</v>
      </c>
      <c r="F443" s="3" t="str">
        <f>HYPERLINK("http://dx.doi.org/10.5650/jos.ess20054","http://dx.doi.org/10.5650/jos.ess20054")</f>
        <v>http://dx.doi.org/10.5650/jos.ess20054</v>
      </c>
      <c r="G443" s="2" t="s">
        <v>200</v>
      </c>
      <c r="H443" s="2" t="s">
        <v>8064</v>
      </c>
      <c r="I443" s="2" t="s">
        <v>8065</v>
      </c>
      <c r="J443" s="2" t="s">
        <v>8066</v>
      </c>
      <c r="K443" s="2" t="s">
        <v>68</v>
      </c>
      <c r="L443" s="2" t="s">
        <v>8067</v>
      </c>
      <c r="M443" s="2" t="s">
        <v>8068</v>
      </c>
      <c r="N443" s="2" t="s">
        <v>8069</v>
      </c>
      <c r="O443" s="2" t="s">
        <v>8070</v>
      </c>
      <c r="P443" s="2" t="s">
        <v>8071</v>
      </c>
      <c r="Q443" s="2" t="s">
        <v>8072</v>
      </c>
      <c r="R443" s="2" t="s">
        <v>86</v>
      </c>
      <c r="S443" s="2" t="s">
        <v>86</v>
      </c>
      <c r="T443" s="2" t="s">
        <v>86</v>
      </c>
      <c r="U443" s="2" t="s">
        <v>86</v>
      </c>
      <c r="V443" s="2" t="s">
        <v>86</v>
      </c>
      <c r="W443" s="2" t="s">
        <v>80</v>
      </c>
      <c r="X443" s="4">
        <v>42</v>
      </c>
      <c r="Y443" s="4">
        <v>5</v>
      </c>
      <c r="Z443" s="4">
        <v>6</v>
      </c>
      <c r="AA443" s="4">
        <v>5</v>
      </c>
      <c r="AB443" s="4">
        <v>24</v>
      </c>
      <c r="AC443" s="2" t="s">
        <v>8073</v>
      </c>
      <c r="AD443" s="2" t="s">
        <v>8074</v>
      </c>
      <c r="AE443" s="2" t="s">
        <v>8075</v>
      </c>
      <c r="AF443" s="2" t="s">
        <v>8076</v>
      </c>
      <c r="AG443" s="2" t="s">
        <v>8077</v>
      </c>
      <c r="AH443" s="2" t="s">
        <v>86</v>
      </c>
      <c r="AI443" s="2" t="s">
        <v>8078</v>
      </c>
      <c r="AJ443" s="2" t="s">
        <v>8079</v>
      </c>
      <c r="AK443" s="2" t="s">
        <v>86</v>
      </c>
      <c r="AL443" s="4">
        <v>2020</v>
      </c>
      <c r="AM443" s="4">
        <v>69</v>
      </c>
      <c r="AN443" s="4">
        <v>8</v>
      </c>
      <c r="AO443" s="2" t="s">
        <v>86</v>
      </c>
      <c r="AP443" s="2" t="s">
        <v>86</v>
      </c>
      <c r="AQ443" s="2" t="s">
        <v>86</v>
      </c>
      <c r="AR443" s="2" t="s">
        <v>86</v>
      </c>
      <c r="AS443" s="4">
        <v>851</v>
      </c>
      <c r="AT443" s="4">
        <v>858</v>
      </c>
      <c r="AU443" s="2" t="s">
        <v>86</v>
      </c>
      <c r="AV443" s="2" t="s">
        <v>86</v>
      </c>
      <c r="AW443" s="2" t="s">
        <v>86</v>
      </c>
      <c r="AX443" s="4">
        <v>8</v>
      </c>
      <c r="AY443" s="2" t="s">
        <v>8080</v>
      </c>
      <c r="AZ443" s="2" t="s">
        <v>92</v>
      </c>
      <c r="BA443" s="2" t="s">
        <v>8081</v>
      </c>
      <c r="BB443" s="2" t="s">
        <v>8082</v>
      </c>
      <c r="BC443" s="4">
        <v>32641613</v>
      </c>
      <c r="BD443" s="2" t="s">
        <v>321</v>
      </c>
      <c r="BE443" s="2" t="s">
        <v>86</v>
      </c>
      <c r="BF443" s="2" t="s">
        <v>86</v>
      </c>
      <c r="BG443" s="2" t="s">
        <v>95</v>
      </c>
      <c r="BH443" s="2" t="s">
        <v>8083</v>
      </c>
      <c r="BI443" s="2" t="str">
        <f>HYPERLINK("https%3A%2F%2Fwww.webofscience.com%2Fwos%2Fwoscc%2Ffull-record%2FWOS:000576651900007","View Full Record in Web of Science")</f>
        <v>View Full Record in Web of Science</v>
      </c>
    </row>
    <row r="444" spans="1:61" customFormat="1" ht="12.75" x14ac:dyDescent="0.2">
      <c r="A444" s="1">
        <v>441</v>
      </c>
      <c r="B444" s="1" t="s">
        <v>1068</v>
      </c>
      <c r="C444" s="1" t="s">
        <v>8084</v>
      </c>
      <c r="D444" s="2" t="s">
        <v>8085</v>
      </c>
      <c r="E444" s="2" t="s">
        <v>8086</v>
      </c>
      <c r="F444" s="3" t="str">
        <f>HYPERLINK("http://dx.doi.org/10.1016/j.wasman.2018.05.034","http://dx.doi.org/10.1016/j.wasman.2018.05.034")</f>
        <v>http://dx.doi.org/10.1016/j.wasman.2018.05.034</v>
      </c>
      <c r="G444" s="2" t="s">
        <v>200</v>
      </c>
      <c r="H444" s="2" t="s">
        <v>8087</v>
      </c>
      <c r="I444" s="2" t="s">
        <v>8088</v>
      </c>
      <c r="J444" s="2" t="s">
        <v>3219</v>
      </c>
      <c r="K444" s="2" t="s">
        <v>68</v>
      </c>
      <c r="L444" s="2" t="s">
        <v>8089</v>
      </c>
      <c r="M444" s="2" t="s">
        <v>8090</v>
      </c>
      <c r="N444" s="2" t="s">
        <v>8091</v>
      </c>
      <c r="O444" s="2" t="s">
        <v>8092</v>
      </c>
      <c r="P444" s="2" t="s">
        <v>8093</v>
      </c>
      <c r="Q444" s="2" t="s">
        <v>8094</v>
      </c>
      <c r="R444" s="2" t="s">
        <v>8095</v>
      </c>
      <c r="S444" s="2" t="s">
        <v>8096</v>
      </c>
      <c r="T444" s="2" t="s">
        <v>86</v>
      </c>
      <c r="U444" s="2" t="s">
        <v>86</v>
      </c>
      <c r="V444" s="2" t="s">
        <v>86</v>
      </c>
      <c r="W444" s="2" t="s">
        <v>80</v>
      </c>
      <c r="X444" s="4">
        <v>60</v>
      </c>
      <c r="Y444" s="4">
        <v>64</v>
      </c>
      <c r="Z444" s="4">
        <v>66</v>
      </c>
      <c r="AA444" s="4">
        <v>10</v>
      </c>
      <c r="AB444" s="4">
        <v>95</v>
      </c>
      <c r="AC444" s="2" t="s">
        <v>237</v>
      </c>
      <c r="AD444" s="2" t="s">
        <v>115</v>
      </c>
      <c r="AE444" s="2" t="s">
        <v>238</v>
      </c>
      <c r="AF444" s="2" t="s">
        <v>3226</v>
      </c>
      <c r="AG444" s="2" t="s">
        <v>86</v>
      </c>
      <c r="AH444" s="2" t="s">
        <v>86</v>
      </c>
      <c r="AI444" s="2" t="s">
        <v>3228</v>
      </c>
      <c r="AJ444" s="2" t="s">
        <v>3229</v>
      </c>
      <c r="AK444" s="2" t="s">
        <v>636</v>
      </c>
      <c r="AL444" s="4">
        <v>2018</v>
      </c>
      <c r="AM444" s="4">
        <v>78</v>
      </c>
      <c r="AN444" s="2" t="s">
        <v>86</v>
      </c>
      <c r="AO444" s="2" t="s">
        <v>86</v>
      </c>
      <c r="AP444" s="2" t="s">
        <v>86</v>
      </c>
      <c r="AQ444" s="2" t="s">
        <v>86</v>
      </c>
      <c r="AR444" s="2" t="s">
        <v>86</v>
      </c>
      <c r="AS444" s="4">
        <v>217</v>
      </c>
      <c r="AT444" s="4">
        <v>226</v>
      </c>
      <c r="AU444" s="2" t="s">
        <v>86</v>
      </c>
      <c r="AV444" s="2" t="s">
        <v>86</v>
      </c>
      <c r="AW444" s="2" t="s">
        <v>86</v>
      </c>
      <c r="AX444" s="4">
        <v>10</v>
      </c>
      <c r="AY444" s="2" t="s">
        <v>567</v>
      </c>
      <c r="AZ444" s="2" t="s">
        <v>92</v>
      </c>
      <c r="BA444" s="2" t="s">
        <v>568</v>
      </c>
      <c r="BB444" s="2" t="s">
        <v>8097</v>
      </c>
      <c r="BC444" s="4">
        <v>32559907</v>
      </c>
      <c r="BD444" s="2" t="s">
        <v>86</v>
      </c>
      <c r="BE444" s="2" t="s">
        <v>86</v>
      </c>
      <c r="BF444" s="2" t="s">
        <v>86</v>
      </c>
      <c r="BG444" s="2" t="s">
        <v>95</v>
      </c>
      <c r="BH444" s="2" t="s">
        <v>8098</v>
      </c>
      <c r="BI444" s="2" t="str">
        <f>HYPERLINK("https%3A%2F%2Fwww.webofscience.com%2Fwos%2Fwoscc%2Ffull-record%2FWOS:000444660600024","View Full Record in Web of Science")</f>
        <v>View Full Record in Web of Science</v>
      </c>
    </row>
    <row r="445" spans="1:61" customFormat="1" ht="12.75" x14ac:dyDescent="0.2">
      <c r="A445" s="1">
        <v>442</v>
      </c>
      <c r="B445" s="1" t="s">
        <v>1068</v>
      </c>
      <c r="C445" s="1" t="s">
        <v>8099</v>
      </c>
      <c r="D445" s="2" t="s">
        <v>8100</v>
      </c>
      <c r="E445" s="2" t="s">
        <v>8101</v>
      </c>
      <c r="F445" s="3" t="str">
        <f>HYPERLINK("http://dx.doi.org/10.2298/ABS210923040A","http://dx.doi.org/10.2298/ABS210923040A")</f>
        <v>http://dx.doi.org/10.2298/ABS210923040A</v>
      </c>
      <c r="G445" s="2" t="s">
        <v>200</v>
      </c>
      <c r="H445" s="2" t="s">
        <v>8102</v>
      </c>
      <c r="I445" s="2" t="s">
        <v>8103</v>
      </c>
      <c r="J445" s="2" t="s">
        <v>8104</v>
      </c>
      <c r="K445" s="2" t="s">
        <v>68</v>
      </c>
      <c r="L445" s="2" t="s">
        <v>8105</v>
      </c>
      <c r="M445" s="2" t="s">
        <v>8106</v>
      </c>
      <c r="N445" s="2" t="s">
        <v>8107</v>
      </c>
      <c r="O445" s="2" t="s">
        <v>428</v>
      </c>
      <c r="P445" s="2" t="s">
        <v>8108</v>
      </c>
      <c r="Q445" s="2" t="s">
        <v>8052</v>
      </c>
      <c r="R445" s="2" t="s">
        <v>8109</v>
      </c>
      <c r="S445" s="2" t="s">
        <v>8110</v>
      </c>
      <c r="T445" s="2" t="s">
        <v>86</v>
      </c>
      <c r="U445" s="2" t="s">
        <v>86</v>
      </c>
      <c r="V445" s="2" t="s">
        <v>86</v>
      </c>
      <c r="W445" s="2" t="s">
        <v>80</v>
      </c>
      <c r="X445" s="4">
        <v>32</v>
      </c>
      <c r="Y445" s="4">
        <v>0</v>
      </c>
      <c r="Z445" s="4">
        <v>0</v>
      </c>
      <c r="AA445" s="4">
        <v>12</v>
      </c>
      <c r="AB445" s="4">
        <v>16</v>
      </c>
      <c r="AC445" s="2" t="s">
        <v>8111</v>
      </c>
      <c r="AD445" s="2" t="s">
        <v>8112</v>
      </c>
      <c r="AE445" s="2" t="s">
        <v>8113</v>
      </c>
      <c r="AF445" s="2" t="s">
        <v>8114</v>
      </c>
      <c r="AG445" s="2" t="s">
        <v>8115</v>
      </c>
      <c r="AH445" s="2" t="s">
        <v>86</v>
      </c>
      <c r="AI445" s="2" t="s">
        <v>8116</v>
      </c>
      <c r="AJ445" s="2" t="s">
        <v>8117</v>
      </c>
      <c r="AK445" s="2" t="s">
        <v>86</v>
      </c>
      <c r="AL445" s="4">
        <v>2021</v>
      </c>
      <c r="AM445" s="4">
        <v>73</v>
      </c>
      <c r="AN445" s="4">
        <v>4</v>
      </c>
      <c r="AO445" s="2" t="s">
        <v>86</v>
      </c>
      <c r="AP445" s="2" t="s">
        <v>86</v>
      </c>
      <c r="AQ445" s="2" t="s">
        <v>86</v>
      </c>
      <c r="AR445" s="2" t="s">
        <v>86</v>
      </c>
      <c r="AS445" s="4">
        <v>465</v>
      </c>
      <c r="AT445" s="4">
        <v>472</v>
      </c>
      <c r="AU445" s="2" t="s">
        <v>86</v>
      </c>
      <c r="AV445" s="2" t="s">
        <v>86</v>
      </c>
      <c r="AW445" s="2" t="s">
        <v>86</v>
      </c>
      <c r="AX445" s="4">
        <v>8</v>
      </c>
      <c r="AY445" s="2" t="s">
        <v>3178</v>
      </c>
      <c r="AZ445" s="2" t="s">
        <v>92</v>
      </c>
      <c r="BA445" s="2" t="s">
        <v>3179</v>
      </c>
      <c r="BB445" s="2" t="s">
        <v>8118</v>
      </c>
      <c r="BC445" s="2" t="s">
        <v>86</v>
      </c>
      <c r="BD445" s="2" t="s">
        <v>321</v>
      </c>
      <c r="BE445" s="2" t="s">
        <v>86</v>
      </c>
      <c r="BF445" s="2" t="s">
        <v>86</v>
      </c>
      <c r="BG445" s="2" t="s">
        <v>95</v>
      </c>
      <c r="BH445" s="2" t="s">
        <v>8119</v>
      </c>
      <c r="BI445" s="2" t="str">
        <f>HYPERLINK("https%3A%2F%2Fwww.webofscience.com%2Fwos%2Fwoscc%2Ffull-record%2FWOS:000738340400004","View Full Record in Web of Science")</f>
        <v>View Full Record in Web of Science</v>
      </c>
    </row>
    <row r="446" spans="1:61" customFormat="1" ht="12.75" x14ac:dyDescent="0.2">
      <c r="A446" s="1">
        <v>443</v>
      </c>
      <c r="B446" s="1" t="s">
        <v>1068</v>
      </c>
      <c r="C446" s="1" t="s">
        <v>8120</v>
      </c>
      <c r="D446" s="2" t="s">
        <v>8121</v>
      </c>
      <c r="E446" s="2" t="s">
        <v>8122</v>
      </c>
      <c r="F446" s="3" t="str">
        <f>HYPERLINK("http://dx.doi.org/10.1177/1558925020916040","http://dx.doi.org/10.1177/1558925020916040")</f>
        <v>http://dx.doi.org/10.1177/1558925020916040</v>
      </c>
      <c r="G446" s="2" t="s">
        <v>200</v>
      </c>
      <c r="H446" s="2" t="s">
        <v>8123</v>
      </c>
      <c r="I446" s="2" t="s">
        <v>8124</v>
      </c>
      <c r="J446" s="2" t="s">
        <v>8125</v>
      </c>
      <c r="K446" s="2" t="s">
        <v>68</v>
      </c>
      <c r="L446" s="2" t="s">
        <v>8126</v>
      </c>
      <c r="M446" s="2" t="s">
        <v>86</v>
      </c>
      <c r="N446" s="2" t="s">
        <v>8127</v>
      </c>
      <c r="O446" s="2" t="s">
        <v>8128</v>
      </c>
      <c r="P446" s="2" t="s">
        <v>8129</v>
      </c>
      <c r="Q446" s="2" t="s">
        <v>8130</v>
      </c>
      <c r="R446" s="2" t="s">
        <v>86</v>
      </c>
      <c r="S446" s="2" t="s">
        <v>86</v>
      </c>
      <c r="T446" s="2" t="s">
        <v>8131</v>
      </c>
      <c r="U446" s="2" t="s">
        <v>8132</v>
      </c>
      <c r="V446" s="2" t="s">
        <v>8133</v>
      </c>
      <c r="W446" s="2" t="s">
        <v>80</v>
      </c>
      <c r="X446" s="4">
        <v>25</v>
      </c>
      <c r="Y446" s="4">
        <v>4</v>
      </c>
      <c r="Z446" s="4">
        <v>4</v>
      </c>
      <c r="AA446" s="4">
        <v>2</v>
      </c>
      <c r="AB446" s="4">
        <v>7</v>
      </c>
      <c r="AC446" s="2" t="s">
        <v>3309</v>
      </c>
      <c r="AD446" s="2" t="s">
        <v>605</v>
      </c>
      <c r="AE446" s="2" t="s">
        <v>3310</v>
      </c>
      <c r="AF446" s="2" t="s">
        <v>8134</v>
      </c>
      <c r="AG446" s="2" t="s">
        <v>86</v>
      </c>
      <c r="AH446" s="2" t="s">
        <v>86</v>
      </c>
      <c r="AI446" s="2" t="s">
        <v>8135</v>
      </c>
      <c r="AJ446" s="2" t="s">
        <v>8136</v>
      </c>
      <c r="AK446" s="2" t="s">
        <v>89</v>
      </c>
      <c r="AL446" s="4">
        <v>2020</v>
      </c>
      <c r="AM446" s="4">
        <v>15</v>
      </c>
      <c r="AN446" s="2" t="s">
        <v>86</v>
      </c>
      <c r="AO446" s="2" t="s">
        <v>86</v>
      </c>
      <c r="AP446" s="2" t="s">
        <v>86</v>
      </c>
      <c r="AQ446" s="2" t="s">
        <v>86</v>
      </c>
      <c r="AR446" s="2" t="s">
        <v>86</v>
      </c>
      <c r="AS446" s="2" t="s">
        <v>86</v>
      </c>
      <c r="AT446" s="2" t="s">
        <v>86</v>
      </c>
      <c r="AU446" s="4">
        <v>1558925020916040</v>
      </c>
      <c r="AV446" s="2" t="s">
        <v>86</v>
      </c>
      <c r="AW446" s="2" t="s">
        <v>86</v>
      </c>
      <c r="AX446" s="4">
        <v>10</v>
      </c>
      <c r="AY446" s="2" t="s">
        <v>3378</v>
      </c>
      <c r="AZ446" s="2" t="s">
        <v>92</v>
      </c>
      <c r="BA446" s="2" t="s">
        <v>3123</v>
      </c>
      <c r="BB446" s="2" t="s">
        <v>8137</v>
      </c>
      <c r="BC446" s="2" t="s">
        <v>86</v>
      </c>
      <c r="BD446" s="2" t="s">
        <v>321</v>
      </c>
      <c r="BE446" s="2" t="s">
        <v>86</v>
      </c>
      <c r="BF446" s="2" t="s">
        <v>86</v>
      </c>
      <c r="BG446" s="2" t="s">
        <v>95</v>
      </c>
      <c r="BH446" s="2" t="s">
        <v>8138</v>
      </c>
      <c r="BI446" s="2" t="str">
        <f>HYPERLINK("https%3A%2F%2Fwww.webofscience.com%2Fwos%2Fwoscc%2Ffull-record%2FWOS:000535783000001","View Full Record in Web of Science")</f>
        <v>View Full Record in Web of Science</v>
      </c>
    </row>
    <row r="447" spans="1:61" customFormat="1" ht="12.75" x14ac:dyDescent="0.2">
      <c r="A447" s="1">
        <v>444</v>
      </c>
      <c r="B447" s="1" t="s">
        <v>1068</v>
      </c>
      <c r="C447" s="1" t="s">
        <v>8139</v>
      </c>
      <c r="D447" s="2" t="s">
        <v>8140</v>
      </c>
      <c r="E447" s="2" t="s">
        <v>8141</v>
      </c>
      <c r="F447" s="3" t="str">
        <f>HYPERLINK("http://dx.doi.org/10.1093/toxres/tfab045","http://dx.doi.org/10.1093/toxres/tfab045")</f>
        <v>http://dx.doi.org/10.1093/toxres/tfab045</v>
      </c>
      <c r="G447" s="2" t="s">
        <v>200</v>
      </c>
      <c r="H447" s="2" t="s">
        <v>8142</v>
      </c>
      <c r="I447" s="2" t="s">
        <v>8143</v>
      </c>
      <c r="J447" s="2" t="s">
        <v>8144</v>
      </c>
      <c r="K447" s="2" t="s">
        <v>68</v>
      </c>
      <c r="L447" s="2" t="s">
        <v>8145</v>
      </c>
      <c r="M447" s="2" t="s">
        <v>8146</v>
      </c>
      <c r="N447" s="2" t="s">
        <v>8147</v>
      </c>
      <c r="O447" s="2" t="s">
        <v>8148</v>
      </c>
      <c r="P447" s="2" t="s">
        <v>8149</v>
      </c>
      <c r="Q447" s="2" t="s">
        <v>8150</v>
      </c>
      <c r="R447" s="2" t="s">
        <v>86</v>
      </c>
      <c r="S447" s="2" t="s">
        <v>86</v>
      </c>
      <c r="T447" s="2" t="s">
        <v>86</v>
      </c>
      <c r="U447" s="2" t="s">
        <v>86</v>
      </c>
      <c r="V447" s="2" t="s">
        <v>86</v>
      </c>
      <c r="W447" s="2" t="s">
        <v>80</v>
      </c>
      <c r="X447" s="4">
        <v>55</v>
      </c>
      <c r="Y447" s="4">
        <v>6</v>
      </c>
      <c r="Z447" s="4">
        <v>6</v>
      </c>
      <c r="AA447" s="4">
        <v>1</v>
      </c>
      <c r="AB447" s="4">
        <v>10</v>
      </c>
      <c r="AC447" s="2" t="s">
        <v>690</v>
      </c>
      <c r="AD447" s="2" t="s">
        <v>115</v>
      </c>
      <c r="AE447" s="2" t="s">
        <v>691</v>
      </c>
      <c r="AF447" s="2" t="s">
        <v>8151</v>
      </c>
      <c r="AG447" s="2" t="s">
        <v>8152</v>
      </c>
      <c r="AH447" s="2" t="s">
        <v>86</v>
      </c>
      <c r="AI447" s="2" t="s">
        <v>8153</v>
      </c>
      <c r="AJ447" s="2" t="s">
        <v>8154</v>
      </c>
      <c r="AK447" s="2" t="s">
        <v>1220</v>
      </c>
      <c r="AL447" s="4">
        <v>2021</v>
      </c>
      <c r="AM447" s="4">
        <v>10</v>
      </c>
      <c r="AN447" s="4">
        <v>3</v>
      </c>
      <c r="AO447" s="2" t="s">
        <v>86</v>
      </c>
      <c r="AP447" s="2" t="s">
        <v>86</v>
      </c>
      <c r="AQ447" s="2" t="s">
        <v>86</v>
      </c>
      <c r="AR447" s="2" t="s">
        <v>86</v>
      </c>
      <c r="AS447" s="4">
        <v>601</v>
      </c>
      <c r="AT447" s="4">
        <v>612</v>
      </c>
      <c r="AU447" s="2" t="s">
        <v>86</v>
      </c>
      <c r="AV447" s="2" t="s">
        <v>86</v>
      </c>
      <c r="AW447" s="2" t="s">
        <v>2290</v>
      </c>
      <c r="AX447" s="4">
        <v>12</v>
      </c>
      <c r="AY447" s="2" t="s">
        <v>8155</v>
      </c>
      <c r="AZ447" s="2" t="s">
        <v>92</v>
      </c>
      <c r="BA447" s="2" t="s">
        <v>8155</v>
      </c>
      <c r="BB447" s="2" t="s">
        <v>8156</v>
      </c>
      <c r="BC447" s="4">
        <v>34141174</v>
      </c>
      <c r="BD447" s="2" t="s">
        <v>659</v>
      </c>
      <c r="BE447" s="2" t="s">
        <v>86</v>
      </c>
      <c r="BF447" s="2" t="s">
        <v>86</v>
      </c>
      <c r="BG447" s="2" t="s">
        <v>95</v>
      </c>
      <c r="BH447" s="2" t="s">
        <v>8157</v>
      </c>
      <c r="BI447" s="2" t="str">
        <f>HYPERLINK("https%3A%2F%2Fwww.webofscience.com%2Fwos%2Fwoscc%2Ffull-record%2FWOS:000671151100025","View Full Record in Web of Science")</f>
        <v>View Full Record in Web of Science</v>
      </c>
    </row>
    <row r="448" spans="1:61" customFormat="1" ht="12.75" x14ac:dyDescent="0.2">
      <c r="A448" s="1">
        <v>445</v>
      </c>
      <c r="B448" s="1" t="s">
        <v>1068</v>
      </c>
      <c r="C448" s="1" t="s">
        <v>8158</v>
      </c>
      <c r="D448" s="2" t="s">
        <v>8159</v>
      </c>
      <c r="E448" s="2" t="s">
        <v>8160</v>
      </c>
      <c r="F448" s="3" t="str">
        <f>HYPERLINK("http://dx.doi.org/10.1016/j.lwt.2020.110609","http://dx.doi.org/10.1016/j.lwt.2020.110609")</f>
        <v>http://dx.doi.org/10.1016/j.lwt.2020.110609</v>
      </c>
      <c r="G448" s="2" t="s">
        <v>200</v>
      </c>
      <c r="H448" s="2" t="s">
        <v>8161</v>
      </c>
      <c r="I448" s="2" t="s">
        <v>8162</v>
      </c>
      <c r="J448" s="2" t="s">
        <v>8163</v>
      </c>
      <c r="K448" s="2" t="s">
        <v>68</v>
      </c>
      <c r="L448" s="2" t="s">
        <v>8164</v>
      </c>
      <c r="M448" s="2" t="s">
        <v>86</v>
      </c>
      <c r="N448" s="2" t="s">
        <v>8165</v>
      </c>
      <c r="O448" s="2" t="s">
        <v>8166</v>
      </c>
      <c r="P448" s="2" t="s">
        <v>8167</v>
      </c>
      <c r="Q448" s="2" t="s">
        <v>7324</v>
      </c>
      <c r="R448" s="2" t="s">
        <v>8168</v>
      </c>
      <c r="S448" s="2" t="s">
        <v>8169</v>
      </c>
      <c r="T448" s="2" t="s">
        <v>8170</v>
      </c>
      <c r="U448" s="2" t="s">
        <v>8171</v>
      </c>
      <c r="V448" s="2" t="s">
        <v>8172</v>
      </c>
      <c r="W448" s="2" t="s">
        <v>80</v>
      </c>
      <c r="X448" s="4">
        <v>39</v>
      </c>
      <c r="Y448" s="4">
        <v>5</v>
      </c>
      <c r="Z448" s="4">
        <v>5</v>
      </c>
      <c r="AA448" s="4">
        <v>2</v>
      </c>
      <c r="AB448" s="4">
        <v>13</v>
      </c>
      <c r="AC448" s="2" t="s">
        <v>585</v>
      </c>
      <c r="AD448" s="2" t="s">
        <v>586</v>
      </c>
      <c r="AE448" s="2" t="s">
        <v>587</v>
      </c>
      <c r="AF448" s="2" t="s">
        <v>8173</v>
      </c>
      <c r="AG448" s="2" t="s">
        <v>8174</v>
      </c>
      <c r="AH448" s="2" t="s">
        <v>86</v>
      </c>
      <c r="AI448" s="2" t="s">
        <v>8175</v>
      </c>
      <c r="AJ448" s="2" t="s">
        <v>8176</v>
      </c>
      <c r="AK448" s="2" t="s">
        <v>366</v>
      </c>
      <c r="AL448" s="4">
        <v>2021</v>
      </c>
      <c r="AM448" s="4">
        <v>139</v>
      </c>
      <c r="AN448" s="2" t="s">
        <v>86</v>
      </c>
      <c r="AO448" s="2" t="s">
        <v>86</v>
      </c>
      <c r="AP448" s="2" t="s">
        <v>86</v>
      </c>
      <c r="AQ448" s="2" t="s">
        <v>86</v>
      </c>
      <c r="AR448" s="2" t="s">
        <v>86</v>
      </c>
      <c r="AS448" s="2" t="s">
        <v>86</v>
      </c>
      <c r="AT448" s="2" t="s">
        <v>86</v>
      </c>
      <c r="AU448" s="4">
        <v>110609</v>
      </c>
      <c r="AV448" s="2" t="s">
        <v>86</v>
      </c>
      <c r="AW448" s="2" t="s">
        <v>1592</v>
      </c>
      <c r="AX448" s="4">
        <v>10</v>
      </c>
      <c r="AY448" s="2" t="s">
        <v>965</v>
      </c>
      <c r="AZ448" s="2" t="s">
        <v>92</v>
      </c>
      <c r="BA448" s="2" t="s">
        <v>965</v>
      </c>
      <c r="BB448" s="2" t="s">
        <v>8177</v>
      </c>
      <c r="BC448" s="2" t="s">
        <v>86</v>
      </c>
      <c r="BD448" s="2" t="s">
        <v>7394</v>
      </c>
      <c r="BE448" s="2" t="s">
        <v>86</v>
      </c>
      <c r="BF448" s="2" t="s">
        <v>86</v>
      </c>
      <c r="BG448" s="2" t="s">
        <v>95</v>
      </c>
      <c r="BH448" s="2" t="s">
        <v>8178</v>
      </c>
      <c r="BI448" s="2" t="str">
        <f>HYPERLINK("https%3A%2F%2Fwww.webofscience.com%2Fwos%2Fwoscc%2Ffull-record%2FWOS:000613931800094","View Full Record in Web of Science")</f>
        <v>View Full Record in Web of Science</v>
      </c>
    </row>
    <row r="449" spans="1:61" customFormat="1" ht="12.75" x14ac:dyDescent="0.2">
      <c r="A449" s="1">
        <v>446</v>
      </c>
      <c r="B449" s="1" t="s">
        <v>1068</v>
      </c>
      <c r="C449" s="1" t="s">
        <v>8179</v>
      </c>
      <c r="D449" s="2" t="s">
        <v>8180</v>
      </c>
      <c r="E449" s="2" t="s">
        <v>8181</v>
      </c>
      <c r="F449" s="3" t="str">
        <f>HYPERLINK("http://dx.doi.org/10.1186/s41935-022-00269-3","http://dx.doi.org/10.1186/s41935-022-00269-3")</f>
        <v>http://dx.doi.org/10.1186/s41935-022-00269-3</v>
      </c>
      <c r="G449" s="2" t="s">
        <v>61</v>
      </c>
      <c r="H449" s="2" t="s">
        <v>8182</v>
      </c>
      <c r="I449" s="2" t="s">
        <v>8183</v>
      </c>
      <c r="J449" s="2" t="s">
        <v>8184</v>
      </c>
      <c r="K449" s="2" t="s">
        <v>68</v>
      </c>
      <c r="L449" s="2" t="s">
        <v>8185</v>
      </c>
      <c r="M449" s="2" t="s">
        <v>8186</v>
      </c>
      <c r="N449" s="2" t="s">
        <v>8187</v>
      </c>
      <c r="O449" s="2" t="s">
        <v>8188</v>
      </c>
      <c r="P449" s="2" t="s">
        <v>8189</v>
      </c>
      <c r="Q449" s="2" t="s">
        <v>8190</v>
      </c>
      <c r="R449" s="2" t="s">
        <v>86</v>
      </c>
      <c r="S449" s="2" t="s">
        <v>8191</v>
      </c>
      <c r="T449" s="2" t="s">
        <v>86</v>
      </c>
      <c r="U449" s="2" t="s">
        <v>86</v>
      </c>
      <c r="V449" s="2" t="s">
        <v>86</v>
      </c>
      <c r="W449" s="2" t="s">
        <v>80</v>
      </c>
      <c r="X449" s="4">
        <v>37</v>
      </c>
      <c r="Y449" s="4">
        <v>2</v>
      </c>
      <c r="Z449" s="4">
        <v>2</v>
      </c>
      <c r="AA449" s="4">
        <v>0</v>
      </c>
      <c r="AB449" s="4">
        <v>5</v>
      </c>
      <c r="AC449" s="2" t="s">
        <v>8192</v>
      </c>
      <c r="AD449" s="2" t="s">
        <v>8193</v>
      </c>
      <c r="AE449" s="2" t="s">
        <v>8194</v>
      </c>
      <c r="AF449" s="2" t="s">
        <v>8195</v>
      </c>
      <c r="AG449" s="2" t="s">
        <v>8196</v>
      </c>
      <c r="AH449" s="2" t="s">
        <v>86</v>
      </c>
      <c r="AI449" s="2" t="s">
        <v>8197</v>
      </c>
      <c r="AJ449" s="2" t="s">
        <v>8198</v>
      </c>
      <c r="AK449" s="2" t="s">
        <v>8199</v>
      </c>
      <c r="AL449" s="4">
        <v>2022</v>
      </c>
      <c r="AM449" s="4">
        <v>12</v>
      </c>
      <c r="AN449" s="4">
        <v>1</v>
      </c>
      <c r="AO449" s="2" t="s">
        <v>86</v>
      </c>
      <c r="AP449" s="2" t="s">
        <v>86</v>
      </c>
      <c r="AQ449" s="2" t="s">
        <v>86</v>
      </c>
      <c r="AR449" s="2" t="s">
        <v>86</v>
      </c>
      <c r="AS449" s="2" t="s">
        <v>86</v>
      </c>
      <c r="AT449" s="2" t="s">
        <v>86</v>
      </c>
      <c r="AU449" s="4">
        <v>10</v>
      </c>
      <c r="AV449" s="2" t="s">
        <v>86</v>
      </c>
      <c r="AW449" s="2" t="s">
        <v>86</v>
      </c>
      <c r="AX449" s="4">
        <v>8</v>
      </c>
      <c r="AY449" s="2" t="s">
        <v>8200</v>
      </c>
      <c r="AZ449" s="2" t="s">
        <v>171</v>
      </c>
      <c r="BA449" s="2" t="s">
        <v>8201</v>
      </c>
      <c r="BB449" s="2" t="s">
        <v>8202</v>
      </c>
      <c r="BC449" s="2" t="s">
        <v>86</v>
      </c>
      <c r="BD449" s="2" t="s">
        <v>321</v>
      </c>
      <c r="BE449" s="2" t="s">
        <v>86</v>
      </c>
      <c r="BF449" s="2" t="s">
        <v>86</v>
      </c>
      <c r="BG449" s="2" t="s">
        <v>95</v>
      </c>
      <c r="BH449" s="2" t="s">
        <v>8203</v>
      </c>
      <c r="BI449" s="2" t="str">
        <f>HYPERLINK("https%3A%2F%2Fwww.webofscience.com%2Fwos%2Fwoscc%2Ffull-record%2FWOS:000751995800001","View Full Record in Web of Science")</f>
        <v>View Full Record in Web of Science</v>
      </c>
    </row>
    <row r="450" spans="1:61" customFormat="1" ht="12.75" x14ac:dyDescent="0.2">
      <c r="A450" s="1">
        <v>447</v>
      </c>
      <c r="B450" s="1" t="s">
        <v>1068</v>
      </c>
      <c r="C450" s="1" t="s">
        <v>8204</v>
      </c>
      <c r="D450" s="2" t="s">
        <v>8205</v>
      </c>
      <c r="E450" s="2" t="s">
        <v>8206</v>
      </c>
      <c r="F450" s="3" t="str">
        <f>HYPERLINK("http://dx.doi.org/10.5004/dwt.2021.26790","http://dx.doi.org/10.5004/dwt.2021.26790")</f>
        <v>http://dx.doi.org/10.5004/dwt.2021.26790</v>
      </c>
      <c r="G450" s="2" t="s">
        <v>200</v>
      </c>
      <c r="H450" s="2" t="s">
        <v>8207</v>
      </c>
      <c r="I450" s="2" t="s">
        <v>8208</v>
      </c>
      <c r="J450" s="2" t="s">
        <v>3905</v>
      </c>
      <c r="K450" s="2" t="s">
        <v>68</v>
      </c>
      <c r="L450" s="2" t="s">
        <v>8209</v>
      </c>
      <c r="M450" s="2" t="s">
        <v>8210</v>
      </c>
      <c r="N450" s="2" t="s">
        <v>8211</v>
      </c>
      <c r="O450" s="2" t="s">
        <v>8212</v>
      </c>
      <c r="P450" s="2" t="s">
        <v>8213</v>
      </c>
      <c r="Q450" s="2" t="s">
        <v>8214</v>
      </c>
      <c r="R450" s="2" t="s">
        <v>8215</v>
      </c>
      <c r="S450" s="2" t="s">
        <v>8216</v>
      </c>
      <c r="T450" s="2" t="s">
        <v>8217</v>
      </c>
      <c r="U450" s="2" t="s">
        <v>8218</v>
      </c>
      <c r="V450" s="2" t="s">
        <v>8219</v>
      </c>
      <c r="W450" s="2" t="s">
        <v>80</v>
      </c>
      <c r="X450" s="4">
        <v>48</v>
      </c>
      <c r="Y450" s="4">
        <v>1</v>
      </c>
      <c r="Z450" s="4">
        <v>1</v>
      </c>
      <c r="AA450" s="4">
        <v>3</v>
      </c>
      <c r="AB450" s="4">
        <v>20</v>
      </c>
      <c r="AC450" s="2" t="s">
        <v>3914</v>
      </c>
      <c r="AD450" s="2" t="s">
        <v>3915</v>
      </c>
      <c r="AE450" s="2" t="s">
        <v>3916</v>
      </c>
      <c r="AF450" s="2" t="s">
        <v>3917</v>
      </c>
      <c r="AG450" s="2" t="s">
        <v>3918</v>
      </c>
      <c r="AH450" s="2" t="s">
        <v>86</v>
      </c>
      <c r="AI450" s="2" t="s">
        <v>3919</v>
      </c>
      <c r="AJ450" s="2" t="s">
        <v>3920</v>
      </c>
      <c r="AK450" s="2" t="s">
        <v>366</v>
      </c>
      <c r="AL450" s="4">
        <v>2021</v>
      </c>
      <c r="AM450" s="4">
        <v>215</v>
      </c>
      <c r="AN450" s="2" t="s">
        <v>86</v>
      </c>
      <c r="AO450" s="2" t="s">
        <v>86</v>
      </c>
      <c r="AP450" s="2" t="s">
        <v>86</v>
      </c>
      <c r="AQ450" s="2" t="s">
        <v>86</v>
      </c>
      <c r="AR450" s="2" t="s">
        <v>86</v>
      </c>
      <c r="AS450" s="4">
        <v>388</v>
      </c>
      <c r="AT450" s="4">
        <v>397</v>
      </c>
      <c r="AU450" s="2" t="s">
        <v>86</v>
      </c>
      <c r="AV450" s="2" t="s">
        <v>86</v>
      </c>
      <c r="AW450" s="2" t="s">
        <v>86</v>
      </c>
      <c r="AX450" s="4">
        <v>10</v>
      </c>
      <c r="AY450" s="2" t="s">
        <v>3921</v>
      </c>
      <c r="AZ450" s="2" t="s">
        <v>92</v>
      </c>
      <c r="BA450" s="2" t="s">
        <v>2578</v>
      </c>
      <c r="BB450" s="2" t="s">
        <v>8220</v>
      </c>
      <c r="BC450" s="2" t="s">
        <v>86</v>
      </c>
      <c r="BD450" s="2" t="s">
        <v>86</v>
      </c>
      <c r="BE450" s="2" t="s">
        <v>86</v>
      </c>
      <c r="BF450" s="2" t="s">
        <v>86</v>
      </c>
      <c r="BG450" s="2" t="s">
        <v>95</v>
      </c>
      <c r="BH450" s="2" t="s">
        <v>8221</v>
      </c>
      <c r="BI450" s="2" t="str">
        <f>HYPERLINK("https%3A%2F%2Fwww.webofscience.com%2Fwos%2Fwoscc%2Ffull-record%2FWOS:000651069000034","View Full Record in Web of Science")</f>
        <v>View Full Record in Web of Science</v>
      </c>
    </row>
    <row r="451" spans="1:61" customFormat="1" ht="12.75" x14ac:dyDescent="0.2">
      <c r="A451" s="1">
        <v>448</v>
      </c>
      <c r="B451" s="1" t="s">
        <v>1068</v>
      </c>
      <c r="C451" s="1" t="s">
        <v>8222</v>
      </c>
      <c r="D451" s="2" t="s">
        <v>8223</v>
      </c>
      <c r="E451" s="2" t="s">
        <v>8224</v>
      </c>
      <c r="F451" s="3" t="str">
        <f>HYPERLINK("http://dx.doi.org/10.1016/j.anireprosci.2019.03.017","http://dx.doi.org/10.1016/j.anireprosci.2019.03.017")</f>
        <v>http://dx.doi.org/10.1016/j.anireprosci.2019.03.017</v>
      </c>
      <c r="G451" s="2" t="s">
        <v>200</v>
      </c>
      <c r="H451" s="2" t="s">
        <v>8225</v>
      </c>
      <c r="I451" s="2" t="s">
        <v>8226</v>
      </c>
      <c r="J451" s="2" t="s">
        <v>8227</v>
      </c>
      <c r="K451" s="2" t="s">
        <v>68</v>
      </c>
      <c r="L451" s="2" t="s">
        <v>8228</v>
      </c>
      <c r="M451" s="2" t="s">
        <v>8229</v>
      </c>
      <c r="N451" s="2" t="s">
        <v>8230</v>
      </c>
      <c r="O451" s="2" t="s">
        <v>8231</v>
      </c>
      <c r="P451" s="2" t="s">
        <v>8232</v>
      </c>
      <c r="Q451" s="2" t="s">
        <v>8233</v>
      </c>
      <c r="R451" s="2" t="s">
        <v>8234</v>
      </c>
      <c r="S451" s="2" t="s">
        <v>8235</v>
      </c>
      <c r="T451" s="2" t="s">
        <v>86</v>
      </c>
      <c r="U451" s="2" t="s">
        <v>86</v>
      </c>
      <c r="V451" s="2" t="s">
        <v>86</v>
      </c>
      <c r="W451" s="2" t="s">
        <v>80</v>
      </c>
      <c r="X451" s="4">
        <v>53</v>
      </c>
      <c r="Y451" s="4">
        <v>9</v>
      </c>
      <c r="Z451" s="4">
        <v>9</v>
      </c>
      <c r="AA451" s="4">
        <v>2</v>
      </c>
      <c r="AB451" s="4">
        <v>11</v>
      </c>
      <c r="AC451" s="2" t="s">
        <v>4555</v>
      </c>
      <c r="AD451" s="2" t="s">
        <v>586</v>
      </c>
      <c r="AE451" s="2" t="s">
        <v>4556</v>
      </c>
      <c r="AF451" s="2" t="s">
        <v>8236</v>
      </c>
      <c r="AG451" s="2" t="s">
        <v>8237</v>
      </c>
      <c r="AH451" s="2" t="s">
        <v>86</v>
      </c>
      <c r="AI451" s="2" t="s">
        <v>8238</v>
      </c>
      <c r="AJ451" s="2" t="s">
        <v>8239</v>
      </c>
      <c r="AK451" s="2" t="s">
        <v>342</v>
      </c>
      <c r="AL451" s="4">
        <v>2019</v>
      </c>
      <c r="AM451" s="4">
        <v>205</v>
      </c>
      <c r="AN451" s="2" t="s">
        <v>86</v>
      </c>
      <c r="AO451" s="2" t="s">
        <v>86</v>
      </c>
      <c r="AP451" s="2" t="s">
        <v>86</v>
      </c>
      <c r="AQ451" s="2" t="s">
        <v>86</v>
      </c>
      <c r="AR451" s="2" t="s">
        <v>86</v>
      </c>
      <c r="AS451" s="4">
        <v>27</v>
      </c>
      <c r="AT451" s="4">
        <v>33</v>
      </c>
      <c r="AU451" s="2" t="s">
        <v>86</v>
      </c>
      <c r="AV451" s="2" t="s">
        <v>86</v>
      </c>
      <c r="AW451" s="2" t="s">
        <v>86</v>
      </c>
      <c r="AX451" s="4">
        <v>7</v>
      </c>
      <c r="AY451" s="2" t="s">
        <v>8240</v>
      </c>
      <c r="AZ451" s="2" t="s">
        <v>92</v>
      </c>
      <c r="BA451" s="2" t="s">
        <v>8241</v>
      </c>
      <c r="BB451" s="2" t="s">
        <v>8242</v>
      </c>
      <c r="BC451" s="4">
        <v>30967318</v>
      </c>
      <c r="BD451" s="2" t="s">
        <v>86</v>
      </c>
      <c r="BE451" s="2" t="s">
        <v>86</v>
      </c>
      <c r="BF451" s="2" t="s">
        <v>86</v>
      </c>
      <c r="BG451" s="2" t="s">
        <v>95</v>
      </c>
      <c r="BH451" s="2" t="s">
        <v>8243</v>
      </c>
      <c r="BI451" s="2" t="str">
        <f>HYPERLINK("https%3A%2F%2Fwww.webofscience.com%2Fwos%2Fwoscc%2Ffull-record%2FWOS:000469907300004","View Full Record in Web of Science")</f>
        <v>View Full Record in Web of Science</v>
      </c>
    </row>
    <row r="452" spans="1:61" customFormat="1" ht="12.75" x14ac:dyDescent="0.2">
      <c r="A452" s="1">
        <v>449</v>
      </c>
      <c r="B452" s="1" t="s">
        <v>1068</v>
      </c>
      <c r="C452" s="1" t="s">
        <v>8244</v>
      </c>
      <c r="D452" s="2" t="s">
        <v>8245</v>
      </c>
      <c r="E452" s="2" t="s">
        <v>8246</v>
      </c>
      <c r="F452" s="3" t="str">
        <f>HYPERLINK("http://dx.doi.org/10.1007/s10658-009-9536-x","http://dx.doi.org/10.1007/s10658-009-9536-x")</f>
        <v>http://dx.doi.org/10.1007/s10658-009-9536-x</v>
      </c>
      <c r="G452" s="2" t="s">
        <v>200</v>
      </c>
      <c r="H452" s="2" t="s">
        <v>8247</v>
      </c>
      <c r="I452" s="2" t="s">
        <v>8248</v>
      </c>
      <c r="J452" s="2" t="s">
        <v>8249</v>
      </c>
      <c r="K452" s="2" t="s">
        <v>68</v>
      </c>
      <c r="L452" s="2" t="s">
        <v>8250</v>
      </c>
      <c r="M452" s="2" t="s">
        <v>8251</v>
      </c>
      <c r="N452" s="2" t="s">
        <v>8252</v>
      </c>
      <c r="O452" s="2" t="s">
        <v>8253</v>
      </c>
      <c r="P452" s="2" t="s">
        <v>8254</v>
      </c>
      <c r="Q452" s="2" t="s">
        <v>8255</v>
      </c>
      <c r="R452" s="2" t="s">
        <v>8256</v>
      </c>
      <c r="S452" s="2" t="s">
        <v>8257</v>
      </c>
      <c r="T452" s="2" t="s">
        <v>86</v>
      </c>
      <c r="U452" s="2" t="s">
        <v>86</v>
      </c>
      <c r="V452" s="2" t="s">
        <v>86</v>
      </c>
      <c r="W452" s="2" t="s">
        <v>80</v>
      </c>
      <c r="X452" s="4">
        <v>34</v>
      </c>
      <c r="Y452" s="4">
        <v>12</v>
      </c>
      <c r="Z452" s="4">
        <v>13</v>
      </c>
      <c r="AA452" s="4">
        <v>0</v>
      </c>
      <c r="AB452" s="4">
        <v>22</v>
      </c>
      <c r="AC452" s="2" t="s">
        <v>139</v>
      </c>
      <c r="AD452" s="2" t="s">
        <v>140</v>
      </c>
      <c r="AE452" s="2" t="s">
        <v>141</v>
      </c>
      <c r="AF452" s="2" t="s">
        <v>8258</v>
      </c>
      <c r="AG452" s="2" t="s">
        <v>8259</v>
      </c>
      <c r="AH452" s="2" t="s">
        <v>86</v>
      </c>
      <c r="AI452" s="2" t="s">
        <v>8260</v>
      </c>
      <c r="AJ452" s="2" t="s">
        <v>8261</v>
      </c>
      <c r="AK452" s="2" t="s">
        <v>146</v>
      </c>
      <c r="AL452" s="4">
        <v>2010</v>
      </c>
      <c r="AM452" s="4">
        <v>126</v>
      </c>
      <c r="AN452" s="4">
        <v>2</v>
      </c>
      <c r="AO452" s="2" t="s">
        <v>86</v>
      </c>
      <c r="AP452" s="2" t="s">
        <v>86</v>
      </c>
      <c r="AQ452" s="2" t="s">
        <v>86</v>
      </c>
      <c r="AR452" s="2" t="s">
        <v>86</v>
      </c>
      <c r="AS452" s="4">
        <v>241</v>
      </c>
      <c r="AT452" s="4">
        <v>247</v>
      </c>
      <c r="AU452" s="2" t="s">
        <v>86</v>
      </c>
      <c r="AV452" s="2" t="s">
        <v>86</v>
      </c>
      <c r="AW452" s="2" t="s">
        <v>86</v>
      </c>
      <c r="AX452" s="4">
        <v>7</v>
      </c>
      <c r="AY452" s="2" t="s">
        <v>8262</v>
      </c>
      <c r="AZ452" s="2" t="s">
        <v>92</v>
      </c>
      <c r="BA452" s="2" t="s">
        <v>8263</v>
      </c>
      <c r="BB452" s="2" t="s">
        <v>8264</v>
      </c>
      <c r="BC452" s="2" t="s">
        <v>86</v>
      </c>
      <c r="BD452" s="2" t="s">
        <v>86</v>
      </c>
      <c r="BE452" s="2" t="s">
        <v>86</v>
      </c>
      <c r="BF452" s="2" t="s">
        <v>86</v>
      </c>
      <c r="BG452" s="2" t="s">
        <v>95</v>
      </c>
      <c r="BH452" s="2" t="s">
        <v>8265</v>
      </c>
      <c r="BI452" s="2" t="str">
        <f>HYPERLINK("https%3A%2F%2Fwww.webofscience.com%2Fwos%2Fwoscc%2Ffull-record%2FWOS:000273083800010","View Full Record in Web of Science")</f>
        <v>View Full Record in Web of Science</v>
      </c>
    </row>
    <row r="453" spans="1:61" customFormat="1" ht="12.75" x14ac:dyDescent="0.2">
      <c r="A453" s="1">
        <v>450</v>
      </c>
      <c r="B453" s="1" t="s">
        <v>1068</v>
      </c>
      <c r="C453" s="1" t="s">
        <v>8266</v>
      </c>
      <c r="D453" s="2" t="s">
        <v>8267</v>
      </c>
      <c r="E453" s="2" t="s">
        <v>8268</v>
      </c>
      <c r="F453" s="3" t="str">
        <f>HYPERLINK("http://dx.doi.org/10.1016/j.jclepro.2019.07.063","http://dx.doi.org/10.1016/j.jclepro.2019.07.063")</f>
        <v>http://dx.doi.org/10.1016/j.jclepro.2019.07.063</v>
      </c>
      <c r="G453" s="2" t="s">
        <v>200</v>
      </c>
      <c r="H453" s="2" t="s">
        <v>8269</v>
      </c>
      <c r="I453" s="2" t="s">
        <v>8270</v>
      </c>
      <c r="J453" s="2" t="s">
        <v>376</v>
      </c>
      <c r="K453" s="2" t="s">
        <v>68</v>
      </c>
      <c r="L453" s="2" t="s">
        <v>8271</v>
      </c>
      <c r="M453" s="2" t="s">
        <v>8272</v>
      </c>
      <c r="N453" s="2" t="s">
        <v>8273</v>
      </c>
      <c r="O453" s="2" t="s">
        <v>8274</v>
      </c>
      <c r="P453" s="2" t="s">
        <v>8275</v>
      </c>
      <c r="Q453" s="2" t="s">
        <v>8276</v>
      </c>
      <c r="R453" s="2" t="s">
        <v>86</v>
      </c>
      <c r="S453" s="2" t="s">
        <v>8277</v>
      </c>
      <c r="T453" s="2" t="s">
        <v>86</v>
      </c>
      <c r="U453" s="2" t="s">
        <v>86</v>
      </c>
      <c r="V453" s="2" t="s">
        <v>86</v>
      </c>
      <c r="W453" s="2" t="s">
        <v>80</v>
      </c>
      <c r="X453" s="4">
        <v>33</v>
      </c>
      <c r="Y453" s="4">
        <v>27</v>
      </c>
      <c r="Z453" s="4">
        <v>27</v>
      </c>
      <c r="AA453" s="4">
        <v>0</v>
      </c>
      <c r="AB453" s="4">
        <v>23</v>
      </c>
      <c r="AC453" s="2" t="s">
        <v>114</v>
      </c>
      <c r="AD453" s="2" t="s">
        <v>115</v>
      </c>
      <c r="AE453" s="2" t="s">
        <v>116</v>
      </c>
      <c r="AF453" s="2" t="s">
        <v>386</v>
      </c>
      <c r="AG453" s="2" t="s">
        <v>387</v>
      </c>
      <c r="AH453" s="2" t="s">
        <v>86</v>
      </c>
      <c r="AI453" s="2" t="s">
        <v>388</v>
      </c>
      <c r="AJ453" s="2" t="s">
        <v>389</v>
      </c>
      <c r="AK453" s="2" t="s">
        <v>5641</v>
      </c>
      <c r="AL453" s="4">
        <v>2019</v>
      </c>
      <c r="AM453" s="4">
        <v>237</v>
      </c>
      <c r="AN453" s="2" t="s">
        <v>86</v>
      </c>
      <c r="AO453" s="2" t="s">
        <v>86</v>
      </c>
      <c r="AP453" s="2" t="s">
        <v>86</v>
      </c>
      <c r="AQ453" s="2" t="s">
        <v>86</v>
      </c>
      <c r="AR453" s="2" t="s">
        <v>86</v>
      </c>
      <c r="AS453" s="2" t="s">
        <v>86</v>
      </c>
      <c r="AT453" s="2" t="s">
        <v>86</v>
      </c>
      <c r="AU453" s="4">
        <v>117588</v>
      </c>
      <c r="AV453" s="2" t="s">
        <v>86</v>
      </c>
      <c r="AW453" s="2" t="s">
        <v>86</v>
      </c>
      <c r="AX453" s="4">
        <v>9</v>
      </c>
      <c r="AY453" s="2" t="s">
        <v>392</v>
      </c>
      <c r="AZ453" s="2" t="s">
        <v>92</v>
      </c>
      <c r="BA453" s="2" t="s">
        <v>393</v>
      </c>
      <c r="BB453" s="2" t="s">
        <v>8278</v>
      </c>
      <c r="BC453" s="2" t="s">
        <v>86</v>
      </c>
      <c r="BD453" s="2" t="s">
        <v>86</v>
      </c>
      <c r="BE453" s="2" t="s">
        <v>86</v>
      </c>
      <c r="BF453" s="2" t="s">
        <v>86</v>
      </c>
      <c r="BG453" s="2" t="s">
        <v>95</v>
      </c>
      <c r="BH453" s="2" t="s">
        <v>8279</v>
      </c>
      <c r="BI453" s="2" t="str">
        <f>HYPERLINK("https%3A%2F%2Fwww.webofscience.com%2Fwos%2Fwoscc%2Ffull-record%2FWOS:000483462700011","View Full Record in Web of Science")</f>
        <v>View Full Record in Web of Science</v>
      </c>
    </row>
    <row r="454" spans="1:61" customFormat="1" ht="12.75" x14ac:dyDescent="0.2">
      <c r="A454" s="1">
        <v>451</v>
      </c>
      <c r="B454" s="1" t="s">
        <v>1068</v>
      </c>
      <c r="C454" s="1" t="s">
        <v>8280</v>
      </c>
      <c r="D454" s="2" t="s">
        <v>8281</v>
      </c>
      <c r="E454" s="2" t="s">
        <v>86</v>
      </c>
      <c r="F454" s="2" t="s">
        <v>86</v>
      </c>
      <c r="G454" s="2" t="s">
        <v>200</v>
      </c>
      <c r="H454" s="2" t="s">
        <v>8282</v>
      </c>
      <c r="I454" s="2" t="s">
        <v>8283</v>
      </c>
      <c r="J454" s="2" t="s">
        <v>3762</v>
      </c>
      <c r="K454" s="2" t="s">
        <v>68</v>
      </c>
      <c r="L454" s="2" t="s">
        <v>8284</v>
      </c>
      <c r="M454" s="2" t="s">
        <v>8285</v>
      </c>
      <c r="N454" s="2" t="s">
        <v>8286</v>
      </c>
      <c r="O454" s="2" t="s">
        <v>2603</v>
      </c>
      <c r="P454" s="2" t="s">
        <v>8287</v>
      </c>
      <c r="Q454" s="2" t="s">
        <v>8288</v>
      </c>
      <c r="R454" s="2" t="s">
        <v>86</v>
      </c>
      <c r="S454" s="2" t="s">
        <v>86</v>
      </c>
      <c r="T454" s="2" t="s">
        <v>8289</v>
      </c>
      <c r="U454" s="2" t="s">
        <v>8290</v>
      </c>
      <c r="V454" s="2" t="s">
        <v>8291</v>
      </c>
      <c r="W454" s="2" t="s">
        <v>80</v>
      </c>
      <c r="X454" s="4">
        <v>30</v>
      </c>
      <c r="Y454" s="4">
        <v>0</v>
      </c>
      <c r="Z454" s="4">
        <v>1</v>
      </c>
      <c r="AA454" s="4">
        <v>0</v>
      </c>
      <c r="AB454" s="4">
        <v>6</v>
      </c>
      <c r="AC454" s="2" t="s">
        <v>3771</v>
      </c>
      <c r="AD454" s="2" t="s">
        <v>3772</v>
      </c>
      <c r="AE454" s="2" t="s">
        <v>3773</v>
      </c>
      <c r="AF454" s="2" t="s">
        <v>3774</v>
      </c>
      <c r="AG454" s="2" t="s">
        <v>86</v>
      </c>
      <c r="AH454" s="2" t="s">
        <v>86</v>
      </c>
      <c r="AI454" s="2" t="s">
        <v>3775</v>
      </c>
      <c r="AJ454" s="2" t="s">
        <v>3776</v>
      </c>
      <c r="AK454" s="2" t="s">
        <v>8292</v>
      </c>
      <c r="AL454" s="4">
        <v>2010</v>
      </c>
      <c r="AM454" s="4">
        <v>5</v>
      </c>
      <c r="AN454" s="4">
        <v>15</v>
      </c>
      <c r="AO454" s="2" t="s">
        <v>86</v>
      </c>
      <c r="AP454" s="2" t="s">
        <v>86</v>
      </c>
      <c r="AQ454" s="2" t="s">
        <v>86</v>
      </c>
      <c r="AR454" s="2" t="s">
        <v>86</v>
      </c>
      <c r="AS454" s="4">
        <v>2051</v>
      </c>
      <c r="AT454" s="4">
        <v>2054</v>
      </c>
      <c r="AU454" s="2" t="s">
        <v>86</v>
      </c>
      <c r="AV454" s="2" t="s">
        <v>86</v>
      </c>
      <c r="AW454" s="2" t="s">
        <v>86</v>
      </c>
      <c r="AX454" s="4">
        <v>4</v>
      </c>
      <c r="AY454" s="2" t="s">
        <v>3080</v>
      </c>
      <c r="AZ454" s="2" t="s">
        <v>92</v>
      </c>
      <c r="BA454" s="2" t="s">
        <v>3081</v>
      </c>
      <c r="BB454" s="2" t="s">
        <v>8293</v>
      </c>
      <c r="BC454" s="2" t="s">
        <v>86</v>
      </c>
      <c r="BD454" s="2" t="s">
        <v>86</v>
      </c>
      <c r="BE454" s="2" t="s">
        <v>86</v>
      </c>
      <c r="BF454" s="2" t="s">
        <v>86</v>
      </c>
      <c r="BG454" s="2" t="s">
        <v>95</v>
      </c>
      <c r="BH454" s="2" t="s">
        <v>8294</v>
      </c>
      <c r="BI454" s="2" t="str">
        <f>HYPERLINK("https%3A%2F%2Fwww.webofscience.com%2Fwos%2Fwoscc%2Ffull-record%2FWOS:000281731900013","View Full Record in Web of Science")</f>
        <v>View Full Record in Web of Science</v>
      </c>
    </row>
    <row r="455" spans="1:61" customFormat="1" ht="12.75" x14ac:dyDescent="0.2">
      <c r="A455" s="1">
        <v>452</v>
      </c>
      <c r="B455" s="1" t="s">
        <v>1068</v>
      </c>
      <c r="C455" s="1" t="s">
        <v>8295</v>
      </c>
      <c r="D455" s="2" t="s">
        <v>8296</v>
      </c>
      <c r="E455" s="2" t="s">
        <v>8297</v>
      </c>
      <c r="F455" s="3" t="str">
        <f>HYPERLINK("http://dx.doi.org/10.1007/s10668-019-00494-2","http://dx.doi.org/10.1007/s10668-019-00494-2")</f>
        <v>http://dx.doi.org/10.1007/s10668-019-00494-2</v>
      </c>
      <c r="G455" s="2" t="s">
        <v>200</v>
      </c>
      <c r="H455" s="2" t="s">
        <v>8298</v>
      </c>
      <c r="I455" s="2" t="s">
        <v>8299</v>
      </c>
      <c r="J455" s="2" t="s">
        <v>8300</v>
      </c>
      <c r="K455" s="2" t="s">
        <v>68</v>
      </c>
      <c r="L455" s="2" t="s">
        <v>8301</v>
      </c>
      <c r="M455" s="2" t="s">
        <v>6968</v>
      </c>
      <c r="N455" s="2" t="s">
        <v>8302</v>
      </c>
      <c r="O455" s="2" t="s">
        <v>8303</v>
      </c>
      <c r="P455" s="2" t="s">
        <v>8304</v>
      </c>
      <c r="Q455" s="2" t="s">
        <v>8305</v>
      </c>
      <c r="R455" s="2" t="s">
        <v>8306</v>
      </c>
      <c r="S455" s="2" t="s">
        <v>8307</v>
      </c>
      <c r="T455" s="2" t="s">
        <v>8308</v>
      </c>
      <c r="U455" s="2" t="s">
        <v>8308</v>
      </c>
      <c r="V455" s="2" t="s">
        <v>8309</v>
      </c>
      <c r="W455" s="2" t="s">
        <v>80</v>
      </c>
      <c r="X455" s="4">
        <v>13</v>
      </c>
      <c r="Y455" s="4">
        <v>2</v>
      </c>
      <c r="Z455" s="4">
        <v>2</v>
      </c>
      <c r="AA455" s="4">
        <v>2</v>
      </c>
      <c r="AB455" s="4">
        <v>15</v>
      </c>
      <c r="AC455" s="2" t="s">
        <v>139</v>
      </c>
      <c r="AD455" s="2" t="s">
        <v>140</v>
      </c>
      <c r="AE455" s="2" t="s">
        <v>141</v>
      </c>
      <c r="AF455" s="2" t="s">
        <v>8310</v>
      </c>
      <c r="AG455" s="2" t="s">
        <v>8311</v>
      </c>
      <c r="AH455" s="2" t="s">
        <v>86</v>
      </c>
      <c r="AI455" s="2" t="s">
        <v>8312</v>
      </c>
      <c r="AJ455" s="2" t="s">
        <v>8313</v>
      </c>
      <c r="AK455" s="2" t="s">
        <v>873</v>
      </c>
      <c r="AL455" s="4">
        <v>2020</v>
      </c>
      <c r="AM455" s="4">
        <v>22</v>
      </c>
      <c r="AN455" s="4">
        <v>7</v>
      </c>
      <c r="AO455" s="2" t="s">
        <v>86</v>
      </c>
      <c r="AP455" s="2" t="s">
        <v>86</v>
      </c>
      <c r="AQ455" s="2" t="s">
        <v>86</v>
      </c>
      <c r="AR455" s="2" t="s">
        <v>86</v>
      </c>
      <c r="AS455" s="4">
        <v>6505</v>
      </c>
      <c r="AT455" s="4">
        <v>6512</v>
      </c>
      <c r="AU455" s="2" t="s">
        <v>86</v>
      </c>
      <c r="AV455" s="2" t="s">
        <v>86</v>
      </c>
      <c r="AW455" s="2" t="s">
        <v>6859</v>
      </c>
      <c r="AX455" s="4">
        <v>8</v>
      </c>
      <c r="AY455" s="2" t="s">
        <v>8314</v>
      </c>
      <c r="AZ455" s="2" t="s">
        <v>92</v>
      </c>
      <c r="BA455" s="2" t="s">
        <v>537</v>
      </c>
      <c r="BB455" s="2" t="s">
        <v>8315</v>
      </c>
      <c r="BC455" s="2" t="s">
        <v>86</v>
      </c>
      <c r="BD455" s="2" t="s">
        <v>86</v>
      </c>
      <c r="BE455" s="2" t="s">
        <v>86</v>
      </c>
      <c r="BF455" s="2" t="s">
        <v>86</v>
      </c>
      <c r="BG455" s="2" t="s">
        <v>95</v>
      </c>
      <c r="BH455" s="2" t="s">
        <v>8316</v>
      </c>
      <c r="BI455" s="2" t="str">
        <f>HYPERLINK("https%3A%2F%2Fwww.webofscience.com%2Fwos%2Fwoscc%2Ffull-record%2FWOS:000490847700001","View Full Record in Web of Science")</f>
        <v>View Full Record in Web of Science</v>
      </c>
    </row>
    <row r="456" spans="1:61" customFormat="1" ht="12.75" x14ac:dyDescent="0.2">
      <c r="A456" s="1">
        <v>453</v>
      </c>
      <c r="B456" s="1" t="s">
        <v>1068</v>
      </c>
      <c r="C456" s="1" t="s">
        <v>8317</v>
      </c>
      <c r="D456" s="2" t="s">
        <v>8318</v>
      </c>
      <c r="E456" s="2" t="s">
        <v>8319</v>
      </c>
      <c r="F456" s="3" t="str">
        <f>HYPERLINK("http://dx.doi.org/10.5336/medsci.2009-13582","http://dx.doi.org/10.5336/medsci.2009-13582")</f>
        <v>http://dx.doi.org/10.5336/medsci.2009-13582</v>
      </c>
      <c r="G456" s="2" t="s">
        <v>200</v>
      </c>
      <c r="H456" s="2" t="s">
        <v>8320</v>
      </c>
      <c r="I456" s="2" t="s">
        <v>8321</v>
      </c>
      <c r="J456" s="2" t="s">
        <v>8322</v>
      </c>
      <c r="K456" s="2" t="s">
        <v>68</v>
      </c>
      <c r="L456" s="2" t="s">
        <v>8323</v>
      </c>
      <c r="M456" s="2" t="s">
        <v>8324</v>
      </c>
      <c r="N456" s="2" t="s">
        <v>8325</v>
      </c>
      <c r="O456" s="2" t="s">
        <v>8326</v>
      </c>
      <c r="P456" s="2" t="s">
        <v>8327</v>
      </c>
      <c r="Q456" s="2" t="s">
        <v>8328</v>
      </c>
      <c r="R456" s="2" t="s">
        <v>8329</v>
      </c>
      <c r="S456" s="2" t="s">
        <v>86</v>
      </c>
      <c r="T456" s="2" t="s">
        <v>86</v>
      </c>
      <c r="U456" s="2" t="s">
        <v>86</v>
      </c>
      <c r="V456" s="2" t="s">
        <v>86</v>
      </c>
      <c r="W456" s="2" t="s">
        <v>80</v>
      </c>
      <c r="X456" s="4">
        <v>50</v>
      </c>
      <c r="Y456" s="4">
        <v>3</v>
      </c>
      <c r="Z456" s="4">
        <v>3</v>
      </c>
      <c r="AA456" s="4">
        <v>0</v>
      </c>
      <c r="AB456" s="4">
        <v>17</v>
      </c>
      <c r="AC456" s="2" t="s">
        <v>8330</v>
      </c>
      <c r="AD456" s="2" t="s">
        <v>932</v>
      </c>
      <c r="AE456" s="2" t="s">
        <v>8331</v>
      </c>
      <c r="AF456" s="2" t="s">
        <v>8332</v>
      </c>
      <c r="AG456" s="2" t="s">
        <v>86</v>
      </c>
      <c r="AH456" s="2" t="s">
        <v>86</v>
      </c>
      <c r="AI456" s="2" t="s">
        <v>8333</v>
      </c>
      <c r="AJ456" s="2" t="s">
        <v>8334</v>
      </c>
      <c r="AK456" s="2" t="s">
        <v>146</v>
      </c>
      <c r="AL456" s="4">
        <v>2011</v>
      </c>
      <c r="AM456" s="4">
        <v>31</v>
      </c>
      <c r="AN456" s="4">
        <v>1</v>
      </c>
      <c r="AO456" s="2" t="s">
        <v>86</v>
      </c>
      <c r="AP456" s="2" t="s">
        <v>86</v>
      </c>
      <c r="AQ456" s="2" t="s">
        <v>86</v>
      </c>
      <c r="AR456" s="2" t="s">
        <v>86</v>
      </c>
      <c r="AS456" s="4">
        <v>164</v>
      </c>
      <c r="AT456" s="4">
        <v>175</v>
      </c>
      <c r="AU456" s="2" t="s">
        <v>86</v>
      </c>
      <c r="AV456" s="2" t="s">
        <v>86</v>
      </c>
      <c r="AW456" s="2" t="s">
        <v>86</v>
      </c>
      <c r="AX456" s="4">
        <v>12</v>
      </c>
      <c r="AY456" s="2" t="s">
        <v>4870</v>
      </c>
      <c r="AZ456" s="2" t="s">
        <v>92</v>
      </c>
      <c r="BA456" s="2" t="s">
        <v>4871</v>
      </c>
      <c r="BB456" s="2" t="s">
        <v>8335</v>
      </c>
      <c r="BC456" s="2" t="s">
        <v>86</v>
      </c>
      <c r="BD456" s="2" t="s">
        <v>8336</v>
      </c>
      <c r="BE456" s="2" t="s">
        <v>86</v>
      </c>
      <c r="BF456" s="2" t="s">
        <v>86</v>
      </c>
      <c r="BG456" s="2" t="s">
        <v>95</v>
      </c>
      <c r="BH456" s="2" t="s">
        <v>8337</v>
      </c>
      <c r="BI456" s="2" t="str">
        <f>HYPERLINK("https%3A%2F%2Fwww.webofscience.com%2Fwos%2Fwoscc%2Ffull-record%2FWOS:000290353100021","View Full Record in Web of Science")</f>
        <v>View Full Record in Web of Science</v>
      </c>
    </row>
    <row r="457" spans="1:61" customFormat="1" ht="12.75" x14ac:dyDescent="0.2">
      <c r="A457" s="1">
        <v>454</v>
      </c>
      <c r="B457" s="1" t="s">
        <v>1068</v>
      </c>
      <c r="C457" s="1" t="s">
        <v>8338</v>
      </c>
      <c r="D457" s="2" t="s">
        <v>8339</v>
      </c>
      <c r="E457" s="2" t="s">
        <v>8340</v>
      </c>
      <c r="F457" s="3" t="str">
        <f>HYPERLINK("http://dx.doi.org/10.2214/ajr.165.6.7484599","http://dx.doi.org/10.2214/ajr.165.6.7484599")</f>
        <v>http://dx.doi.org/10.2214/ajr.165.6.7484599</v>
      </c>
      <c r="G457" s="2" t="s">
        <v>200</v>
      </c>
      <c r="H457" s="2" t="s">
        <v>8341</v>
      </c>
      <c r="I457" s="2" t="s">
        <v>8341</v>
      </c>
      <c r="J457" s="2" t="s">
        <v>8342</v>
      </c>
      <c r="K457" s="2" t="s">
        <v>68</v>
      </c>
      <c r="L457" s="2" t="s">
        <v>86</v>
      </c>
      <c r="M457" s="2" t="s">
        <v>8343</v>
      </c>
      <c r="N457" s="2" t="s">
        <v>8344</v>
      </c>
      <c r="O457" s="2" t="s">
        <v>4331</v>
      </c>
      <c r="P457" s="2" t="s">
        <v>8345</v>
      </c>
      <c r="Q457" s="2" t="s">
        <v>86</v>
      </c>
      <c r="R457" s="2" t="s">
        <v>86</v>
      </c>
      <c r="S457" s="2" t="s">
        <v>86</v>
      </c>
      <c r="T457" s="2" t="s">
        <v>86</v>
      </c>
      <c r="U457" s="2" t="s">
        <v>86</v>
      </c>
      <c r="V457" s="2" t="s">
        <v>86</v>
      </c>
      <c r="W457" s="2" t="s">
        <v>80</v>
      </c>
      <c r="X457" s="4">
        <v>18</v>
      </c>
      <c r="Y457" s="4">
        <v>40</v>
      </c>
      <c r="Z457" s="4">
        <v>42</v>
      </c>
      <c r="AA457" s="4">
        <v>0</v>
      </c>
      <c r="AB457" s="4">
        <v>4</v>
      </c>
      <c r="AC457" s="2" t="s">
        <v>8346</v>
      </c>
      <c r="AD457" s="2" t="s">
        <v>8347</v>
      </c>
      <c r="AE457" s="2" t="s">
        <v>8348</v>
      </c>
      <c r="AF457" s="2" t="s">
        <v>8349</v>
      </c>
      <c r="AG457" s="2" t="s">
        <v>86</v>
      </c>
      <c r="AH457" s="2" t="s">
        <v>86</v>
      </c>
      <c r="AI457" s="2" t="s">
        <v>8350</v>
      </c>
      <c r="AJ457" s="2" t="s">
        <v>8351</v>
      </c>
      <c r="AK457" s="2" t="s">
        <v>217</v>
      </c>
      <c r="AL457" s="4">
        <v>1995</v>
      </c>
      <c r="AM457" s="4">
        <v>165</v>
      </c>
      <c r="AN457" s="4">
        <v>6</v>
      </c>
      <c r="AO457" s="2" t="s">
        <v>86</v>
      </c>
      <c r="AP457" s="2" t="s">
        <v>86</v>
      </c>
      <c r="AQ457" s="2" t="s">
        <v>86</v>
      </c>
      <c r="AR457" s="2" t="s">
        <v>86</v>
      </c>
      <c r="AS457" s="4">
        <v>1517</v>
      </c>
      <c r="AT457" s="4">
        <v>1524</v>
      </c>
      <c r="AU457" s="2" t="s">
        <v>86</v>
      </c>
      <c r="AV457" s="2" t="s">
        <v>86</v>
      </c>
      <c r="AW457" s="2" t="s">
        <v>86</v>
      </c>
      <c r="AX457" s="4">
        <v>8</v>
      </c>
      <c r="AY457" s="2" t="s">
        <v>8352</v>
      </c>
      <c r="AZ457" s="2" t="s">
        <v>92</v>
      </c>
      <c r="BA457" s="2" t="s">
        <v>8352</v>
      </c>
      <c r="BB457" s="2" t="s">
        <v>8353</v>
      </c>
      <c r="BC457" s="4">
        <v>7484599</v>
      </c>
      <c r="BD457" s="2" t="s">
        <v>86</v>
      </c>
      <c r="BE457" s="2" t="s">
        <v>86</v>
      </c>
      <c r="BF457" s="2" t="s">
        <v>86</v>
      </c>
      <c r="BG457" s="2" t="s">
        <v>95</v>
      </c>
      <c r="BH457" s="2" t="s">
        <v>8354</v>
      </c>
      <c r="BI457" s="2" t="str">
        <f>HYPERLINK("https%3A%2F%2Fwww.webofscience.com%2Fwos%2Fwoscc%2Ffull-record%2FWOS:A1995TF76800046","View Full Record in Web of Science")</f>
        <v>View Full Record in Web of Science</v>
      </c>
    </row>
    <row r="458" spans="1:61" customFormat="1" ht="12.75" x14ac:dyDescent="0.2">
      <c r="A458" s="1">
        <v>455</v>
      </c>
      <c r="B458" s="1" t="s">
        <v>1068</v>
      </c>
      <c r="C458" s="1" t="s">
        <v>8355</v>
      </c>
      <c r="D458" s="2" t="s">
        <v>8356</v>
      </c>
      <c r="E458" s="2" t="s">
        <v>8357</v>
      </c>
      <c r="F458" s="3" t="str">
        <f>HYPERLINK("http://dx.doi.org/10.22358/jafs/146345/2022","http://dx.doi.org/10.22358/jafs/146345/2022")</f>
        <v>http://dx.doi.org/10.22358/jafs/146345/2022</v>
      </c>
      <c r="G458" s="2" t="s">
        <v>200</v>
      </c>
      <c r="H458" s="2" t="s">
        <v>8358</v>
      </c>
      <c r="I458" s="2" t="s">
        <v>8359</v>
      </c>
      <c r="J458" s="2" t="s">
        <v>8360</v>
      </c>
      <c r="K458" s="2" t="s">
        <v>68</v>
      </c>
      <c r="L458" s="2" t="s">
        <v>8361</v>
      </c>
      <c r="M458" s="2" t="s">
        <v>86</v>
      </c>
      <c r="N458" s="2" t="s">
        <v>8362</v>
      </c>
      <c r="O458" s="2" t="s">
        <v>8363</v>
      </c>
      <c r="P458" s="2" t="s">
        <v>8364</v>
      </c>
      <c r="Q458" s="2" t="s">
        <v>8365</v>
      </c>
      <c r="R458" s="2" t="s">
        <v>86</v>
      </c>
      <c r="S458" s="2" t="s">
        <v>8366</v>
      </c>
      <c r="T458" s="2" t="s">
        <v>8367</v>
      </c>
      <c r="U458" s="2" t="s">
        <v>8368</v>
      </c>
      <c r="V458" s="2" t="s">
        <v>8369</v>
      </c>
      <c r="W458" s="2" t="s">
        <v>80</v>
      </c>
      <c r="X458" s="4">
        <v>37</v>
      </c>
      <c r="Y458" s="4">
        <v>0</v>
      </c>
      <c r="Z458" s="4">
        <v>0</v>
      </c>
      <c r="AA458" s="4">
        <v>0</v>
      </c>
      <c r="AB458" s="4">
        <v>6</v>
      </c>
      <c r="AC458" s="2" t="s">
        <v>8370</v>
      </c>
      <c r="AD458" s="2" t="s">
        <v>8371</v>
      </c>
      <c r="AE458" s="2" t="s">
        <v>8372</v>
      </c>
      <c r="AF458" s="2" t="s">
        <v>8373</v>
      </c>
      <c r="AG458" s="2" t="s">
        <v>86</v>
      </c>
      <c r="AH458" s="2" t="s">
        <v>86</v>
      </c>
      <c r="AI458" s="2" t="s">
        <v>8374</v>
      </c>
      <c r="AJ458" s="2" t="s">
        <v>8375</v>
      </c>
      <c r="AK458" s="2" t="s">
        <v>86</v>
      </c>
      <c r="AL458" s="4">
        <v>2022</v>
      </c>
      <c r="AM458" s="4">
        <v>31</v>
      </c>
      <c r="AN458" s="4">
        <v>1</v>
      </c>
      <c r="AO458" s="2" t="s">
        <v>86</v>
      </c>
      <c r="AP458" s="2" t="s">
        <v>86</v>
      </c>
      <c r="AQ458" s="2" t="s">
        <v>86</v>
      </c>
      <c r="AR458" s="2" t="s">
        <v>86</v>
      </c>
      <c r="AS458" s="4">
        <v>65</v>
      </c>
      <c r="AT458" s="4">
        <v>72</v>
      </c>
      <c r="AU458" s="2" t="s">
        <v>86</v>
      </c>
      <c r="AV458" s="2" t="s">
        <v>86</v>
      </c>
      <c r="AW458" s="2" t="s">
        <v>86</v>
      </c>
      <c r="AX458" s="4">
        <v>8</v>
      </c>
      <c r="AY458" s="2" t="s">
        <v>4718</v>
      </c>
      <c r="AZ458" s="2" t="s">
        <v>92</v>
      </c>
      <c r="BA458" s="2" t="s">
        <v>4719</v>
      </c>
      <c r="BB458" s="2" t="s">
        <v>8376</v>
      </c>
      <c r="BC458" s="2" t="s">
        <v>86</v>
      </c>
      <c r="BD458" s="2" t="s">
        <v>321</v>
      </c>
      <c r="BE458" s="2" t="s">
        <v>86</v>
      </c>
      <c r="BF458" s="2" t="s">
        <v>86</v>
      </c>
      <c r="BG458" s="2" t="s">
        <v>95</v>
      </c>
      <c r="BH458" s="2" t="s">
        <v>8377</v>
      </c>
      <c r="BI458" s="2" t="str">
        <f>HYPERLINK("https%3A%2F%2Fwww.webofscience.com%2Fwos%2Fwoscc%2Ffull-record%2FWOS:000807699700008","View Full Record in Web of Science")</f>
        <v>View Full Record in Web of Science</v>
      </c>
    </row>
    <row r="459" spans="1:61" customFormat="1" ht="12.75" x14ac:dyDescent="0.2">
      <c r="A459" s="1">
        <v>456</v>
      </c>
      <c r="B459" s="1" t="s">
        <v>1068</v>
      </c>
      <c r="C459" s="1" t="s">
        <v>8378</v>
      </c>
      <c r="D459" s="2" t="s">
        <v>8379</v>
      </c>
      <c r="E459" s="2" t="s">
        <v>8380</v>
      </c>
      <c r="F459" s="3" t="str">
        <f>HYPERLINK("http://dx.doi.org/10.5713/ajas.17.0296","http://dx.doi.org/10.5713/ajas.17.0296")</f>
        <v>http://dx.doi.org/10.5713/ajas.17.0296</v>
      </c>
      <c r="G459" s="2" t="s">
        <v>200</v>
      </c>
      <c r="H459" s="2" t="s">
        <v>8381</v>
      </c>
      <c r="I459" s="2" t="s">
        <v>8382</v>
      </c>
      <c r="J459" s="2" t="s">
        <v>8383</v>
      </c>
      <c r="K459" s="2" t="s">
        <v>68</v>
      </c>
      <c r="L459" s="2" t="s">
        <v>8384</v>
      </c>
      <c r="M459" s="2" t="s">
        <v>8385</v>
      </c>
      <c r="N459" s="2" t="s">
        <v>8386</v>
      </c>
      <c r="O459" s="2" t="s">
        <v>8387</v>
      </c>
      <c r="P459" s="2" t="s">
        <v>8388</v>
      </c>
      <c r="Q459" s="2" t="s">
        <v>8389</v>
      </c>
      <c r="R459" s="2" t="s">
        <v>8390</v>
      </c>
      <c r="S459" s="2" t="s">
        <v>8391</v>
      </c>
      <c r="T459" s="2" t="s">
        <v>8392</v>
      </c>
      <c r="U459" s="2" t="s">
        <v>434</v>
      </c>
      <c r="V459" s="2" t="s">
        <v>8393</v>
      </c>
      <c r="W459" s="2" t="s">
        <v>80</v>
      </c>
      <c r="X459" s="4">
        <v>33</v>
      </c>
      <c r="Y459" s="4">
        <v>7</v>
      </c>
      <c r="Z459" s="4">
        <v>7</v>
      </c>
      <c r="AA459" s="4">
        <v>0</v>
      </c>
      <c r="AB459" s="4">
        <v>17</v>
      </c>
      <c r="AC459" s="2" t="s">
        <v>8394</v>
      </c>
      <c r="AD459" s="2" t="s">
        <v>4297</v>
      </c>
      <c r="AE459" s="2" t="s">
        <v>8395</v>
      </c>
      <c r="AF459" s="2" t="s">
        <v>8396</v>
      </c>
      <c r="AG459" s="2" t="s">
        <v>8397</v>
      </c>
      <c r="AH459" s="2" t="s">
        <v>86</v>
      </c>
      <c r="AI459" s="2" t="s">
        <v>8398</v>
      </c>
      <c r="AJ459" s="2" t="s">
        <v>8399</v>
      </c>
      <c r="AK459" s="2" t="s">
        <v>89</v>
      </c>
      <c r="AL459" s="4">
        <v>2018</v>
      </c>
      <c r="AM459" s="4">
        <v>31</v>
      </c>
      <c r="AN459" s="4">
        <v>4</v>
      </c>
      <c r="AO459" s="2" t="s">
        <v>86</v>
      </c>
      <c r="AP459" s="2" t="s">
        <v>86</v>
      </c>
      <c r="AQ459" s="2" t="s">
        <v>86</v>
      </c>
      <c r="AR459" s="2" t="s">
        <v>86</v>
      </c>
      <c r="AS459" s="4">
        <v>522</v>
      </c>
      <c r="AT459" s="4">
        <v>528</v>
      </c>
      <c r="AU459" s="2" t="s">
        <v>86</v>
      </c>
      <c r="AV459" s="2" t="s">
        <v>86</v>
      </c>
      <c r="AW459" s="2" t="s">
        <v>86</v>
      </c>
      <c r="AX459" s="4">
        <v>7</v>
      </c>
      <c r="AY459" s="2" t="s">
        <v>4718</v>
      </c>
      <c r="AZ459" s="2" t="s">
        <v>92</v>
      </c>
      <c r="BA459" s="2" t="s">
        <v>4719</v>
      </c>
      <c r="BB459" s="2" t="s">
        <v>8400</v>
      </c>
      <c r="BC459" s="4">
        <v>28728364</v>
      </c>
      <c r="BD459" s="2" t="s">
        <v>5177</v>
      </c>
      <c r="BE459" s="2" t="s">
        <v>86</v>
      </c>
      <c r="BF459" s="2" t="s">
        <v>86</v>
      </c>
      <c r="BG459" s="2" t="s">
        <v>95</v>
      </c>
      <c r="BH459" s="2" t="s">
        <v>8401</v>
      </c>
      <c r="BI459" s="2" t="str">
        <f>HYPERLINK("https%3A%2F%2Fwww.webofscience.com%2Fwos%2Fwoscc%2Ffull-record%2FWOS:000425889000008","View Full Record in Web of Science")</f>
        <v>View Full Record in Web of Science</v>
      </c>
    </row>
    <row r="460" spans="1:61" customFormat="1" ht="12.75" x14ac:dyDescent="0.2">
      <c r="A460" s="1">
        <v>457</v>
      </c>
      <c r="B460" s="1" t="s">
        <v>1068</v>
      </c>
      <c r="C460" s="1" t="s">
        <v>8402</v>
      </c>
      <c r="D460" s="2" t="s">
        <v>8403</v>
      </c>
      <c r="E460" s="2" t="s">
        <v>8404</v>
      </c>
      <c r="F460" s="3" t="str">
        <f>HYPERLINK("http://dx.doi.org/10.4318/tjg.2013.0594","http://dx.doi.org/10.4318/tjg.2013.0594")</f>
        <v>http://dx.doi.org/10.4318/tjg.2013.0594</v>
      </c>
      <c r="G460" s="2" t="s">
        <v>200</v>
      </c>
      <c r="H460" s="2" t="s">
        <v>8405</v>
      </c>
      <c r="I460" s="2" t="s">
        <v>8406</v>
      </c>
      <c r="J460" s="2" t="s">
        <v>8407</v>
      </c>
      <c r="K460" s="2" t="s">
        <v>68</v>
      </c>
      <c r="L460" s="2" t="s">
        <v>8408</v>
      </c>
      <c r="M460" s="2" t="s">
        <v>8409</v>
      </c>
      <c r="N460" s="2" t="s">
        <v>8410</v>
      </c>
      <c r="O460" s="2" t="s">
        <v>8411</v>
      </c>
      <c r="P460" s="2" t="s">
        <v>8412</v>
      </c>
      <c r="Q460" s="2" t="s">
        <v>8413</v>
      </c>
      <c r="R460" s="2" t="s">
        <v>8414</v>
      </c>
      <c r="S460" s="2" t="s">
        <v>8415</v>
      </c>
      <c r="T460" s="2" t="s">
        <v>86</v>
      </c>
      <c r="U460" s="2" t="s">
        <v>86</v>
      </c>
      <c r="V460" s="2" t="s">
        <v>86</v>
      </c>
      <c r="W460" s="2" t="s">
        <v>80</v>
      </c>
      <c r="X460" s="4">
        <v>24</v>
      </c>
      <c r="Y460" s="4">
        <v>8</v>
      </c>
      <c r="Z460" s="4">
        <v>13</v>
      </c>
      <c r="AA460" s="4">
        <v>0</v>
      </c>
      <c r="AB460" s="4">
        <v>1</v>
      </c>
      <c r="AC460" s="2" t="s">
        <v>6699</v>
      </c>
      <c r="AD460" s="2" t="s">
        <v>6700</v>
      </c>
      <c r="AE460" s="2" t="s">
        <v>6701</v>
      </c>
      <c r="AF460" s="2" t="s">
        <v>8416</v>
      </c>
      <c r="AG460" s="2" t="s">
        <v>8417</v>
      </c>
      <c r="AH460" s="2" t="s">
        <v>86</v>
      </c>
      <c r="AI460" s="2" t="s">
        <v>8418</v>
      </c>
      <c r="AJ460" s="2" t="s">
        <v>8419</v>
      </c>
      <c r="AK460" s="2" t="s">
        <v>873</v>
      </c>
      <c r="AL460" s="4">
        <v>2013</v>
      </c>
      <c r="AM460" s="4">
        <v>24</v>
      </c>
      <c r="AN460" s="4">
        <v>5</v>
      </c>
      <c r="AO460" s="2" t="s">
        <v>86</v>
      </c>
      <c r="AP460" s="2" t="s">
        <v>86</v>
      </c>
      <c r="AQ460" s="2" t="s">
        <v>86</v>
      </c>
      <c r="AR460" s="2" t="s">
        <v>86</v>
      </c>
      <c r="AS460" s="4">
        <v>436</v>
      </c>
      <c r="AT460" s="4">
        <v>440</v>
      </c>
      <c r="AU460" s="2" t="s">
        <v>86</v>
      </c>
      <c r="AV460" s="2" t="s">
        <v>86</v>
      </c>
      <c r="AW460" s="2" t="s">
        <v>86</v>
      </c>
      <c r="AX460" s="4">
        <v>5</v>
      </c>
      <c r="AY460" s="2" t="s">
        <v>8420</v>
      </c>
      <c r="AZ460" s="2" t="s">
        <v>92</v>
      </c>
      <c r="BA460" s="2" t="s">
        <v>8420</v>
      </c>
      <c r="BB460" s="2" t="s">
        <v>8421</v>
      </c>
      <c r="BC460" s="4">
        <v>24557968</v>
      </c>
      <c r="BD460" s="2" t="s">
        <v>86</v>
      </c>
      <c r="BE460" s="2" t="s">
        <v>86</v>
      </c>
      <c r="BF460" s="2" t="s">
        <v>86</v>
      </c>
      <c r="BG460" s="2" t="s">
        <v>95</v>
      </c>
      <c r="BH460" s="2" t="s">
        <v>8422</v>
      </c>
      <c r="BI460" s="2" t="str">
        <f>HYPERLINK("https%3A%2F%2Fwww.webofscience.com%2Fwos%2Fwoscc%2Ffull-record%2FWOS:000329765600010","View Full Record in Web of Science")</f>
        <v>View Full Record in Web of Science</v>
      </c>
    </row>
    <row r="461" spans="1:61" customFormat="1" ht="12.75" x14ac:dyDescent="0.2">
      <c r="A461" s="1">
        <v>458</v>
      </c>
      <c r="B461" s="1" t="s">
        <v>1068</v>
      </c>
      <c r="C461" s="1" t="s">
        <v>8423</v>
      </c>
      <c r="D461" s="2" t="s">
        <v>8424</v>
      </c>
      <c r="E461" s="2" t="s">
        <v>86</v>
      </c>
      <c r="F461" s="2" t="s">
        <v>86</v>
      </c>
      <c r="G461" s="2" t="s">
        <v>200</v>
      </c>
      <c r="H461" s="2" t="s">
        <v>8425</v>
      </c>
      <c r="I461" s="2" t="s">
        <v>8426</v>
      </c>
      <c r="J461" s="2" t="s">
        <v>1868</v>
      </c>
      <c r="K461" s="2" t="s">
        <v>68</v>
      </c>
      <c r="L461" s="2" t="s">
        <v>8427</v>
      </c>
      <c r="M461" s="2" t="s">
        <v>8428</v>
      </c>
      <c r="N461" s="2" t="s">
        <v>8429</v>
      </c>
      <c r="O461" s="2" t="s">
        <v>8430</v>
      </c>
      <c r="P461" s="2" t="s">
        <v>8431</v>
      </c>
      <c r="Q461" s="2" t="s">
        <v>8389</v>
      </c>
      <c r="R461" s="2" t="s">
        <v>8432</v>
      </c>
      <c r="S461" s="2" t="s">
        <v>8433</v>
      </c>
      <c r="T461" s="2" t="s">
        <v>86</v>
      </c>
      <c r="U461" s="2" t="s">
        <v>86</v>
      </c>
      <c r="V461" s="2" t="s">
        <v>86</v>
      </c>
      <c r="W461" s="2" t="s">
        <v>80</v>
      </c>
      <c r="X461" s="4">
        <v>26</v>
      </c>
      <c r="Y461" s="4">
        <v>2</v>
      </c>
      <c r="Z461" s="4">
        <v>3</v>
      </c>
      <c r="AA461" s="4">
        <v>0</v>
      </c>
      <c r="AB461" s="4">
        <v>8</v>
      </c>
      <c r="AC461" s="2" t="s">
        <v>1873</v>
      </c>
      <c r="AD461" s="2" t="s">
        <v>1874</v>
      </c>
      <c r="AE461" s="2" t="s">
        <v>1875</v>
      </c>
      <c r="AF461" s="2" t="s">
        <v>1876</v>
      </c>
      <c r="AG461" s="2" t="s">
        <v>86</v>
      </c>
      <c r="AH461" s="2" t="s">
        <v>86</v>
      </c>
      <c r="AI461" s="2" t="s">
        <v>1878</v>
      </c>
      <c r="AJ461" s="2" t="s">
        <v>1879</v>
      </c>
      <c r="AK461" s="2" t="s">
        <v>86</v>
      </c>
      <c r="AL461" s="4">
        <v>2011</v>
      </c>
      <c r="AM461" s="4">
        <v>17</v>
      </c>
      <c r="AN461" s="4">
        <v>2</v>
      </c>
      <c r="AO461" s="2" t="s">
        <v>86</v>
      </c>
      <c r="AP461" s="2" t="s">
        <v>86</v>
      </c>
      <c r="AQ461" s="2" t="s">
        <v>86</v>
      </c>
      <c r="AR461" s="2" t="s">
        <v>86</v>
      </c>
      <c r="AS461" s="4">
        <v>297</v>
      </c>
      <c r="AT461" s="4">
        <v>302</v>
      </c>
      <c r="AU461" s="2" t="s">
        <v>86</v>
      </c>
      <c r="AV461" s="2" t="s">
        <v>86</v>
      </c>
      <c r="AW461" s="2" t="s">
        <v>86</v>
      </c>
      <c r="AX461" s="4">
        <v>6</v>
      </c>
      <c r="AY461" s="2" t="s">
        <v>1881</v>
      </c>
      <c r="AZ461" s="2" t="s">
        <v>92</v>
      </c>
      <c r="BA461" s="2" t="s">
        <v>1881</v>
      </c>
      <c r="BB461" s="2" t="s">
        <v>8434</v>
      </c>
      <c r="BC461" s="2" t="s">
        <v>86</v>
      </c>
      <c r="BD461" s="2" t="s">
        <v>86</v>
      </c>
      <c r="BE461" s="2" t="s">
        <v>86</v>
      </c>
      <c r="BF461" s="2" t="s">
        <v>86</v>
      </c>
      <c r="BG461" s="2" t="s">
        <v>95</v>
      </c>
      <c r="BH461" s="2" t="s">
        <v>8435</v>
      </c>
      <c r="BI461" s="2" t="str">
        <f>HYPERLINK("https%3A%2F%2Fwww.webofscience.com%2Fwos%2Fwoscc%2Ffull-record%2FWOS:000288117600022","View Full Record in Web of Science")</f>
        <v>View Full Record in Web of Science</v>
      </c>
    </row>
    <row r="462" spans="1:61" customFormat="1" ht="12.75" x14ac:dyDescent="0.2">
      <c r="A462" s="1">
        <v>459</v>
      </c>
      <c r="B462" s="1" t="s">
        <v>1068</v>
      </c>
      <c r="C462" s="1" t="s">
        <v>8436</v>
      </c>
      <c r="D462" s="2" t="s">
        <v>8437</v>
      </c>
      <c r="E462" s="2" t="s">
        <v>86</v>
      </c>
      <c r="F462" s="2" t="s">
        <v>86</v>
      </c>
      <c r="G462" s="2" t="s">
        <v>200</v>
      </c>
      <c r="H462" s="2" t="s">
        <v>8438</v>
      </c>
      <c r="I462" s="2" t="s">
        <v>8439</v>
      </c>
      <c r="J462" s="2" t="s">
        <v>6271</v>
      </c>
      <c r="K462" s="2" t="s">
        <v>305</v>
      </c>
      <c r="L462" s="2" t="s">
        <v>8440</v>
      </c>
      <c r="M462" s="2" t="s">
        <v>86</v>
      </c>
      <c r="N462" s="2" t="s">
        <v>8441</v>
      </c>
      <c r="O462" s="2" t="s">
        <v>134</v>
      </c>
      <c r="P462" s="2" t="s">
        <v>8442</v>
      </c>
      <c r="Q462" s="2" t="s">
        <v>8443</v>
      </c>
      <c r="R462" s="2" t="s">
        <v>8444</v>
      </c>
      <c r="S462" s="2" t="s">
        <v>8445</v>
      </c>
      <c r="T462" s="2" t="s">
        <v>86</v>
      </c>
      <c r="U462" s="2" t="s">
        <v>86</v>
      </c>
      <c r="V462" s="2" t="s">
        <v>86</v>
      </c>
      <c r="W462" s="2" t="s">
        <v>80</v>
      </c>
      <c r="X462" s="4">
        <v>4</v>
      </c>
      <c r="Y462" s="4">
        <v>1</v>
      </c>
      <c r="Z462" s="4">
        <v>1</v>
      </c>
      <c r="AA462" s="4">
        <v>0</v>
      </c>
      <c r="AB462" s="4">
        <v>1</v>
      </c>
      <c r="AC462" s="2" t="s">
        <v>6277</v>
      </c>
      <c r="AD462" s="2" t="s">
        <v>165</v>
      </c>
      <c r="AE462" s="2" t="s">
        <v>6278</v>
      </c>
      <c r="AF462" s="2" t="s">
        <v>6279</v>
      </c>
      <c r="AG462" s="2" t="s">
        <v>6280</v>
      </c>
      <c r="AH462" s="2" t="s">
        <v>86</v>
      </c>
      <c r="AI462" s="2" t="s">
        <v>6281</v>
      </c>
      <c r="AJ462" s="2" t="s">
        <v>6282</v>
      </c>
      <c r="AK462" s="2" t="s">
        <v>86</v>
      </c>
      <c r="AL462" s="4">
        <v>2011</v>
      </c>
      <c r="AM462" s="4">
        <v>3</v>
      </c>
      <c r="AN462" s="4">
        <v>1</v>
      </c>
      <c r="AO462" s="2" t="s">
        <v>86</v>
      </c>
      <c r="AP462" s="2" t="s">
        <v>86</v>
      </c>
      <c r="AQ462" s="2" t="s">
        <v>86</v>
      </c>
      <c r="AR462" s="2" t="s">
        <v>86</v>
      </c>
      <c r="AS462" s="4">
        <v>176</v>
      </c>
      <c r="AT462" s="4">
        <v>184</v>
      </c>
      <c r="AU462" s="2" t="s">
        <v>86</v>
      </c>
      <c r="AV462" s="2" t="s">
        <v>86</v>
      </c>
      <c r="AW462" s="2" t="s">
        <v>86</v>
      </c>
      <c r="AX462" s="4">
        <v>9</v>
      </c>
      <c r="AY462" s="2" t="s">
        <v>808</v>
      </c>
      <c r="AZ462" s="2" t="s">
        <v>171</v>
      </c>
      <c r="BA462" s="2" t="s">
        <v>345</v>
      </c>
      <c r="BB462" s="2" t="s">
        <v>6283</v>
      </c>
      <c r="BC462" s="2" t="s">
        <v>86</v>
      </c>
      <c r="BD462" s="2" t="s">
        <v>86</v>
      </c>
      <c r="BE462" s="2" t="s">
        <v>86</v>
      </c>
      <c r="BF462" s="2" t="s">
        <v>86</v>
      </c>
      <c r="BG462" s="2" t="s">
        <v>95</v>
      </c>
      <c r="BH462" s="2" t="s">
        <v>8446</v>
      </c>
      <c r="BI462" s="2" t="str">
        <f>HYPERLINK("https%3A%2F%2Fwww.webofscience.com%2Fwos%2Fwoscc%2Ffull-record%2FWOS:000219500400021","View Full Record in Web of Science")</f>
        <v>View Full Record in Web of Science</v>
      </c>
    </row>
    <row r="463" spans="1:61" customFormat="1" ht="12.75" x14ac:dyDescent="0.2">
      <c r="A463" s="1">
        <v>460</v>
      </c>
      <c r="B463" s="1" t="s">
        <v>1068</v>
      </c>
      <c r="C463" s="1" t="s">
        <v>8447</v>
      </c>
      <c r="D463" s="2" t="s">
        <v>8448</v>
      </c>
      <c r="E463" s="2" t="s">
        <v>86</v>
      </c>
      <c r="F463" s="2" t="s">
        <v>86</v>
      </c>
      <c r="G463" s="2" t="s">
        <v>176</v>
      </c>
      <c r="H463" s="2" t="s">
        <v>8449</v>
      </c>
      <c r="I463" s="2" t="s">
        <v>8450</v>
      </c>
      <c r="J463" s="2" t="s">
        <v>6448</v>
      </c>
      <c r="K463" s="2" t="s">
        <v>68</v>
      </c>
      <c r="L463" s="2" t="s">
        <v>8451</v>
      </c>
      <c r="M463" s="2" t="s">
        <v>8452</v>
      </c>
      <c r="N463" s="2" t="s">
        <v>8453</v>
      </c>
      <c r="O463" s="2" t="s">
        <v>8454</v>
      </c>
      <c r="P463" s="2" t="s">
        <v>8455</v>
      </c>
      <c r="Q463" s="2" t="s">
        <v>8456</v>
      </c>
      <c r="R463" s="2" t="s">
        <v>8457</v>
      </c>
      <c r="S463" s="2" t="s">
        <v>86</v>
      </c>
      <c r="T463" s="2" t="s">
        <v>86</v>
      </c>
      <c r="U463" s="2" t="s">
        <v>86</v>
      </c>
      <c r="V463" s="2" t="s">
        <v>86</v>
      </c>
      <c r="W463" s="2" t="s">
        <v>188</v>
      </c>
      <c r="X463" s="4">
        <v>184</v>
      </c>
      <c r="Y463" s="4">
        <v>20</v>
      </c>
      <c r="Z463" s="4">
        <v>20</v>
      </c>
      <c r="AA463" s="4">
        <v>1</v>
      </c>
      <c r="AB463" s="4">
        <v>4</v>
      </c>
      <c r="AC463" s="2" t="s">
        <v>6456</v>
      </c>
      <c r="AD463" s="2" t="s">
        <v>6457</v>
      </c>
      <c r="AE463" s="2" t="s">
        <v>6458</v>
      </c>
      <c r="AF463" s="2" t="s">
        <v>86</v>
      </c>
      <c r="AG463" s="2" t="s">
        <v>86</v>
      </c>
      <c r="AH463" s="2" t="s">
        <v>6459</v>
      </c>
      <c r="AI463" s="2" t="s">
        <v>86</v>
      </c>
      <c r="AJ463" s="2" t="s">
        <v>86</v>
      </c>
      <c r="AK463" s="2" t="s">
        <v>86</v>
      </c>
      <c r="AL463" s="4">
        <v>2015</v>
      </c>
      <c r="AM463" s="2" t="s">
        <v>86</v>
      </c>
      <c r="AN463" s="2" t="s">
        <v>86</v>
      </c>
      <c r="AO463" s="2" t="s">
        <v>86</v>
      </c>
      <c r="AP463" s="2" t="s">
        <v>86</v>
      </c>
      <c r="AQ463" s="2" t="s">
        <v>86</v>
      </c>
      <c r="AR463" s="2" t="s">
        <v>86</v>
      </c>
      <c r="AS463" s="4">
        <v>1</v>
      </c>
      <c r="AT463" s="4">
        <v>34</v>
      </c>
      <c r="AU463" s="2" t="s">
        <v>86</v>
      </c>
      <c r="AV463" s="2" t="s">
        <v>6460</v>
      </c>
      <c r="AW463" s="2" t="s">
        <v>86</v>
      </c>
      <c r="AX463" s="4">
        <v>34</v>
      </c>
      <c r="AY463" s="2" t="s">
        <v>6461</v>
      </c>
      <c r="AZ463" s="2" t="s">
        <v>194</v>
      </c>
      <c r="BA463" s="2" t="s">
        <v>6462</v>
      </c>
      <c r="BB463" s="2" t="s">
        <v>6463</v>
      </c>
      <c r="BC463" s="2" t="s">
        <v>86</v>
      </c>
      <c r="BD463" s="2" t="s">
        <v>86</v>
      </c>
      <c r="BE463" s="2" t="s">
        <v>86</v>
      </c>
      <c r="BF463" s="2" t="s">
        <v>86</v>
      </c>
      <c r="BG463" s="2" t="s">
        <v>95</v>
      </c>
      <c r="BH463" s="2" t="s">
        <v>8458</v>
      </c>
      <c r="BI463" s="2" t="str">
        <f>HYPERLINK("https%3A%2F%2Fwww.webofscience.com%2Fwos%2Fwoscc%2Ffull-record%2FWOS:000449998200002","View Full Record in Web of Science")</f>
        <v>View Full Record in Web of Science</v>
      </c>
    </row>
    <row r="464" spans="1:61" customFormat="1" ht="12.75" x14ac:dyDescent="0.2">
      <c r="A464" s="1">
        <v>461</v>
      </c>
      <c r="B464" s="1" t="s">
        <v>1068</v>
      </c>
      <c r="C464" s="1" t="s">
        <v>8459</v>
      </c>
      <c r="D464" s="2" t="s">
        <v>8460</v>
      </c>
      <c r="E464" s="2" t="s">
        <v>8461</v>
      </c>
      <c r="F464" s="3" t="str">
        <f>HYPERLINK("http://dx.doi.org/10.1002/adfm.201001031","http://dx.doi.org/10.1002/adfm.201001031")</f>
        <v>http://dx.doi.org/10.1002/adfm.201001031</v>
      </c>
      <c r="G464" s="2" t="s">
        <v>200</v>
      </c>
      <c r="H464" s="2" t="s">
        <v>8462</v>
      </c>
      <c r="I464" s="2" t="s">
        <v>8463</v>
      </c>
      <c r="J464" s="2" t="s">
        <v>8464</v>
      </c>
      <c r="K464" s="2" t="s">
        <v>68</v>
      </c>
      <c r="L464" s="2" t="s">
        <v>86</v>
      </c>
      <c r="M464" s="2" t="s">
        <v>8465</v>
      </c>
      <c r="N464" s="2" t="s">
        <v>8466</v>
      </c>
      <c r="O464" s="2" t="s">
        <v>8467</v>
      </c>
      <c r="P464" s="2" t="s">
        <v>8468</v>
      </c>
      <c r="Q464" s="2" t="s">
        <v>8469</v>
      </c>
      <c r="R464" s="2" t="s">
        <v>8470</v>
      </c>
      <c r="S464" s="2" t="s">
        <v>8471</v>
      </c>
      <c r="T464" s="2" t="s">
        <v>8472</v>
      </c>
      <c r="U464" s="2" t="s">
        <v>8473</v>
      </c>
      <c r="V464" s="2" t="s">
        <v>8474</v>
      </c>
      <c r="W464" s="2" t="s">
        <v>80</v>
      </c>
      <c r="X464" s="4">
        <v>36</v>
      </c>
      <c r="Y464" s="4">
        <v>343</v>
      </c>
      <c r="Z464" s="4">
        <v>358</v>
      </c>
      <c r="AA464" s="4">
        <v>7</v>
      </c>
      <c r="AB464" s="4">
        <v>181</v>
      </c>
      <c r="AC464" s="2" t="s">
        <v>6972</v>
      </c>
      <c r="AD464" s="2" t="s">
        <v>6973</v>
      </c>
      <c r="AE464" s="2" t="s">
        <v>8475</v>
      </c>
      <c r="AF464" s="2" t="s">
        <v>8476</v>
      </c>
      <c r="AG464" s="2" t="s">
        <v>8477</v>
      </c>
      <c r="AH464" s="2" t="s">
        <v>86</v>
      </c>
      <c r="AI464" s="2" t="s">
        <v>8478</v>
      </c>
      <c r="AJ464" s="2" t="s">
        <v>8479</v>
      </c>
      <c r="AK464" s="2" t="s">
        <v>8480</v>
      </c>
      <c r="AL464" s="4">
        <v>2010</v>
      </c>
      <c r="AM464" s="4">
        <v>20</v>
      </c>
      <c r="AN464" s="4">
        <v>23</v>
      </c>
      <c r="AO464" s="2" t="s">
        <v>86</v>
      </c>
      <c r="AP464" s="2" t="s">
        <v>86</v>
      </c>
      <c r="AQ464" s="2" t="s">
        <v>86</v>
      </c>
      <c r="AR464" s="2" t="s">
        <v>86</v>
      </c>
      <c r="AS464" s="4">
        <v>4069</v>
      </c>
      <c r="AT464" s="4">
        <v>4076</v>
      </c>
      <c r="AU464" s="2" t="s">
        <v>86</v>
      </c>
      <c r="AV464" s="2" t="s">
        <v>86</v>
      </c>
      <c r="AW464" s="2" t="s">
        <v>86</v>
      </c>
      <c r="AX464" s="4">
        <v>8</v>
      </c>
      <c r="AY464" s="2" t="s">
        <v>8481</v>
      </c>
      <c r="AZ464" s="2" t="s">
        <v>92</v>
      </c>
      <c r="BA464" s="2" t="s">
        <v>8482</v>
      </c>
      <c r="BB464" s="2" t="s">
        <v>8483</v>
      </c>
      <c r="BC464" s="2" t="s">
        <v>86</v>
      </c>
      <c r="BD464" s="2" t="s">
        <v>86</v>
      </c>
      <c r="BE464" s="2" t="s">
        <v>86</v>
      </c>
      <c r="BF464" s="2" t="s">
        <v>86</v>
      </c>
      <c r="BG464" s="2" t="s">
        <v>95</v>
      </c>
      <c r="BH464" s="2" t="s">
        <v>8484</v>
      </c>
      <c r="BI464" s="2" t="str">
        <f>HYPERLINK("https%3A%2F%2Fwww.webofscience.com%2Fwos%2Fwoscc%2Ffull-record%2FWOS:000285392900005","View Full Record in Web of Science")</f>
        <v>View Full Record in Web of Science</v>
      </c>
    </row>
    <row r="465" spans="1:61" customFormat="1" ht="12.75" x14ac:dyDescent="0.2">
      <c r="A465" s="1">
        <v>462</v>
      </c>
      <c r="B465" s="1" t="s">
        <v>1068</v>
      </c>
      <c r="C465" s="1" t="s">
        <v>8485</v>
      </c>
      <c r="D465" s="2" t="s">
        <v>8486</v>
      </c>
      <c r="E465" s="2" t="s">
        <v>86</v>
      </c>
      <c r="F465" s="2" t="s">
        <v>86</v>
      </c>
      <c r="G465" s="2" t="s">
        <v>200</v>
      </c>
      <c r="H465" s="2" t="s">
        <v>8487</v>
      </c>
      <c r="I465" s="2" t="s">
        <v>8488</v>
      </c>
      <c r="J465" s="2" t="s">
        <v>1918</v>
      </c>
      <c r="K465" s="2" t="s">
        <v>68</v>
      </c>
      <c r="L465" s="2" t="s">
        <v>8489</v>
      </c>
      <c r="M465" s="2" t="s">
        <v>8490</v>
      </c>
      <c r="N465" s="2" t="s">
        <v>8491</v>
      </c>
      <c r="O465" s="2" t="s">
        <v>8492</v>
      </c>
      <c r="P465" s="2" t="s">
        <v>8493</v>
      </c>
      <c r="Q465" s="2" t="s">
        <v>8494</v>
      </c>
      <c r="R465" s="2" t="s">
        <v>8495</v>
      </c>
      <c r="S465" s="2" t="s">
        <v>8496</v>
      </c>
      <c r="T465" s="2" t="s">
        <v>8497</v>
      </c>
      <c r="U465" s="2" t="s">
        <v>8498</v>
      </c>
      <c r="V465" s="2" t="s">
        <v>8499</v>
      </c>
      <c r="W465" s="2" t="s">
        <v>80</v>
      </c>
      <c r="X465" s="4">
        <v>31</v>
      </c>
      <c r="Y465" s="4">
        <v>1</v>
      </c>
      <c r="Z465" s="4">
        <v>1</v>
      </c>
      <c r="AA465" s="4">
        <v>0</v>
      </c>
      <c r="AB465" s="4">
        <v>9</v>
      </c>
      <c r="AC465" s="2" t="s">
        <v>1927</v>
      </c>
      <c r="AD465" s="2" t="s">
        <v>1928</v>
      </c>
      <c r="AE465" s="2" t="s">
        <v>1929</v>
      </c>
      <c r="AF465" s="2" t="s">
        <v>1930</v>
      </c>
      <c r="AG465" s="2" t="s">
        <v>1931</v>
      </c>
      <c r="AH465" s="2" t="s">
        <v>86</v>
      </c>
      <c r="AI465" s="2" t="s">
        <v>1932</v>
      </c>
      <c r="AJ465" s="2" t="s">
        <v>1933</v>
      </c>
      <c r="AK465" s="2" t="s">
        <v>86</v>
      </c>
      <c r="AL465" s="4">
        <v>2015</v>
      </c>
      <c r="AM465" s="4">
        <v>24</v>
      </c>
      <c r="AN465" s="2" t="s">
        <v>8500</v>
      </c>
      <c r="AO465" s="2" t="s">
        <v>86</v>
      </c>
      <c r="AP465" s="2" t="s">
        <v>86</v>
      </c>
      <c r="AQ465" s="2" t="s">
        <v>86</v>
      </c>
      <c r="AR465" s="2" t="s">
        <v>86</v>
      </c>
      <c r="AS465" s="4">
        <v>4589</v>
      </c>
      <c r="AT465" s="4">
        <v>4596</v>
      </c>
      <c r="AU465" s="2" t="s">
        <v>86</v>
      </c>
      <c r="AV465" s="2" t="s">
        <v>86</v>
      </c>
      <c r="AW465" s="2" t="s">
        <v>86</v>
      </c>
      <c r="AX465" s="4">
        <v>8</v>
      </c>
      <c r="AY465" s="2" t="s">
        <v>91</v>
      </c>
      <c r="AZ465" s="2" t="s">
        <v>92</v>
      </c>
      <c r="BA465" s="2" t="s">
        <v>93</v>
      </c>
      <c r="BB465" s="2" t="s">
        <v>8501</v>
      </c>
      <c r="BC465" s="2" t="s">
        <v>86</v>
      </c>
      <c r="BD465" s="2" t="s">
        <v>86</v>
      </c>
      <c r="BE465" s="2" t="s">
        <v>86</v>
      </c>
      <c r="BF465" s="2" t="s">
        <v>86</v>
      </c>
      <c r="BG465" s="2" t="s">
        <v>95</v>
      </c>
      <c r="BH465" s="2" t="s">
        <v>8502</v>
      </c>
      <c r="BI465" s="2" t="str">
        <f>HYPERLINK("https%3A%2F%2Fwww.webofscience.com%2Fwos%2Fwoscc%2Ffull-record%2FWOS:000368040900006","View Full Record in Web of Science")</f>
        <v>View Full Record in Web of Science</v>
      </c>
    </row>
    <row r="466" spans="1:61" customFormat="1" ht="12.75" x14ac:dyDescent="0.2">
      <c r="A466" s="1">
        <v>463</v>
      </c>
      <c r="B466" s="1" t="s">
        <v>1068</v>
      </c>
      <c r="C466" s="1" t="s">
        <v>8503</v>
      </c>
      <c r="D466" s="2" t="s">
        <v>8504</v>
      </c>
      <c r="E466" s="2" t="s">
        <v>86</v>
      </c>
      <c r="F466" s="2" t="s">
        <v>86</v>
      </c>
      <c r="G466" s="2" t="s">
        <v>200</v>
      </c>
      <c r="H466" s="2" t="s">
        <v>8505</v>
      </c>
      <c r="I466" s="2" t="s">
        <v>8506</v>
      </c>
      <c r="J466" s="2" t="s">
        <v>1868</v>
      </c>
      <c r="K466" s="2" t="s">
        <v>68</v>
      </c>
      <c r="L466" s="2" t="s">
        <v>8507</v>
      </c>
      <c r="M466" s="2" t="s">
        <v>8508</v>
      </c>
      <c r="N466" s="2" t="s">
        <v>8509</v>
      </c>
      <c r="O466" s="2" t="s">
        <v>7965</v>
      </c>
      <c r="P466" s="2" t="s">
        <v>8510</v>
      </c>
      <c r="Q466" s="2" t="s">
        <v>8511</v>
      </c>
      <c r="R466" s="2" t="s">
        <v>86</v>
      </c>
      <c r="S466" s="2" t="s">
        <v>7968</v>
      </c>
      <c r="T466" s="2" t="s">
        <v>86</v>
      </c>
      <c r="U466" s="2" t="s">
        <v>86</v>
      </c>
      <c r="V466" s="2" t="s">
        <v>86</v>
      </c>
      <c r="W466" s="2" t="s">
        <v>80</v>
      </c>
      <c r="X466" s="4">
        <v>20</v>
      </c>
      <c r="Y466" s="4">
        <v>11</v>
      </c>
      <c r="Z466" s="4">
        <v>11</v>
      </c>
      <c r="AA466" s="4">
        <v>0</v>
      </c>
      <c r="AB466" s="4">
        <v>3</v>
      </c>
      <c r="AC466" s="2" t="s">
        <v>1873</v>
      </c>
      <c r="AD466" s="2" t="s">
        <v>1874</v>
      </c>
      <c r="AE466" s="2" t="s">
        <v>1875</v>
      </c>
      <c r="AF466" s="2" t="s">
        <v>1876</v>
      </c>
      <c r="AG466" s="2" t="s">
        <v>86</v>
      </c>
      <c r="AH466" s="2" t="s">
        <v>86</v>
      </c>
      <c r="AI466" s="2" t="s">
        <v>1878</v>
      </c>
      <c r="AJ466" s="2" t="s">
        <v>1879</v>
      </c>
      <c r="AK466" s="2" t="s">
        <v>86</v>
      </c>
      <c r="AL466" s="4">
        <v>2009</v>
      </c>
      <c r="AM466" s="4">
        <v>15</v>
      </c>
      <c r="AN466" s="4">
        <v>1</v>
      </c>
      <c r="AO466" s="2" t="s">
        <v>86</v>
      </c>
      <c r="AP466" s="2" t="s">
        <v>86</v>
      </c>
      <c r="AQ466" s="2" t="s">
        <v>86</v>
      </c>
      <c r="AR466" s="2" t="s">
        <v>86</v>
      </c>
      <c r="AS466" s="4">
        <v>19</v>
      </c>
      <c r="AT466" s="4">
        <v>24</v>
      </c>
      <c r="AU466" s="2" t="s">
        <v>86</v>
      </c>
      <c r="AV466" s="2" t="s">
        <v>86</v>
      </c>
      <c r="AW466" s="2" t="s">
        <v>86</v>
      </c>
      <c r="AX466" s="4">
        <v>6</v>
      </c>
      <c r="AY466" s="2" t="s">
        <v>1881</v>
      </c>
      <c r="AZ466" s="2" t="s">
        <v>92</v>
      </c>
      <c r="BA466" s="2" t="s">
        <v>1881</v>
      </c>
      <c r="BB466" s="2" t="s">
        <v>8512</v>
      </c>
      <c r="BC466" s="2" t="s">
        <v>86</v>
      </c>
      <c r="BD466" s="2" t="s">
        <v>86</v>
      </c>
      <c r="BE466" s="2" t="s">
        <v>86</v>
      </c>
      <c r="BF466" s="2" t="s">
        <v>86</v>
      </c>
      <c r="BG466" s="2" t="s">
        <v>95</v>
      </c>
      <c r="BH466" s="2" t="s">
        <v>8513</v>
      </c>
      <c r="BI466" s="2" t="str">
        <f>HYPERLINK("https%3A%2F%2Fwww.webofscience.com%2Fwos%2Fwoscc%2Ffull-record%2FWOS:000263698100004","View Full Record in Web of Science")</f>
        <v>View Full Record in Web of Science</v>
      </c>
    </row>
    <row r="467" spans="1:61" customFormat="1" ht="12.75" x14ac:dyDescent="0.2">
      <c r="A467" s="1">
        <v>464</v>
      </c>
      <c r="B467" s="1" t="s">
        <v>1068</v>
      </c>
      <c r="C467" s="1" t="s">
        <v>8514</v>
      </c>
      <c r="D467" s="2" t="s">
        <v>8515</v>
      </c>
      <c r="E467" s="2" t="s">
        <v>8516</v>
      </c>
      <c r="F467" s="3" t="str">
        <f>HYPERLINK("http://dx.doi.org/10.1007/s10971-019-05027-x","http://dx.doi.org/10.1007/s10971-019-05027-x")</f>
        <v>http://dx.doi.org/10.1007/s10971-019-05027-x</v>
      </c>
      <c r="G467" s="2" t="s">
        <v>200</v>
      </c>
      <c r="H467" s="2" t="s">
        <v>8517</v>
      </c>
      <c r="I467" s="2" t="s">
        <v>8518</v>
      </c>
      <c r="J467" s="2" t="s">
        <v>8519</v>
      </c>
      <c r="K467" s="2" t="s">
        <v>68</v>
      </c>
      <c r="L467" s="2" t="s">
        <v>8520</v>
      </c>
      <c r="M467" s="2" t="s">
        <v>8521</v>
      </c>
      <c r="N467" s="2" t="s">
        <v>8522</v>
      </c>
      <c r="O467" s="2" t="s">
        <v>1993</v>
      </c>
      <c r="P467" s="2" t="s">
        <v>8523</v>
      </c>
      <c r="Q467" s="2" t="s">
        <v>8524</v>
      </c>
      <c r="R467" s="2" t="s">
        <v>8525</v>
      </c>
      <c r="S467" s="2" t="s">
        <v>8526</v>
      </c>
      <c r="T467" s="2" t="s">
        <v>8527</v>
      </c>
      <c r="U467" s="2" t="s">
        <v>8528</v>
      </c>
      <c r="V467" s="2" t="s">
        <v>8529</v>
      </c>
      <c r="W467" s="2" t="s">
        <v>80</v>
      </c>
      <c r="X467" s="4">
        <v>40</v>
      </c>
      <c r="Y467" s="4">
        <v>3</v>
      </c>
      <c r="Z467" s="4">
        <v>3</v>
      </c>
      <c r="AA467" s="4">
        <v>1</v>
      </c>
      <c r="AB467" s="4">
        <v>35</v>
      </c>
      <c r="AC467" s="2" t="s">
        <v>139</v>
      </c>
      <c r="AD467" s="2" t="s">
        <v>1355</v>
      </c>
      <c r="AE467" s="2" t="s">
        <v>4512</v>
      </c>
      <c r="AF467" s="2" t="s">
        <v>8530</v>
      </c>
      <c r="AG467" s="2" t="s">
        <v>8531</v>
      </c>
      <c r="AH467" s="2" t="s">
        <v>86</v>
      </c>
      <c r="AI467" s="2" t="s">
        <v>8532</v>
      </c>
      <c r="AJ467" s="2" t="s">
        <v>8533</v>
      </c>
      <c r="AK467" s="2" t="s">
        <v>1458</v>
      </c>
      <c r="AL467" s="4">
        <v>2019</v>
      </c>
      <c r="AM467" s="4">
        <v>91</v>
      </c>
      <c r="AN467" s="4">
        <v>1</v>
      </c>
      <c r="AO467" s="2" t="s">
        <v>86</v>
      </c>
      <c r="AP467" s="2" t="s">
        <v>86</v>
      </c>
      <c r="AQ467" s="2" t="s">
        <v>86</v>
      </c>
      <c r="AR467" s="2" t="s">
        <v>86</v>
      </c>
      <c r="AS467" s="4">
        <v>1</v>
      </c>
      <c r="AT467" s="4">
        <v>10</v>
      </c>
      <c r="AU467" s="2" t="s">
        <v>86</v>
      </c>
      <c r="AV467" s="2" t="s">
        <v>86</v>
      </c>
      <c r="AW467" s="2" t="s">
        <v>86</v>
      </c>
      <c r="AX467" s="4">
        <v>10</v>
      </c>
      <c r="AY467" s="2" t="s">
        <v>8534</v>
      </c>
      <c r="AZ467" s="2" t="s">
        <v>92</v>
      </c>
      <c r="BA467" s="2" t="s">
        <v>3123</v>
      </c>
      <c r="BB467" s="2" t="s">
        <v>8535</v>
      </c>
      <c r="BC467" s="2" t="s">
        <v>86</v>
      </c>
      <c r="BD467" s="2" t="s">
        <v>86</v>
      </c>
      <c r="BE467" s="2" t="s">
        <v>86</v>
      </c>
      <c r="BF467" s="2" t="s">
        <v>86</v>
      </c>
      <c r="BG467" s="2" t="s">
        <v>95</v>
      </c>
      <c r="BH467" s="2" t="s">
        <v>8536</v>
      </c>
      <c r="BI467" s="2" t="str">
        <f>HYPERLINK("https%3A%2F%2Fwww.webofscience.com%2Fwos%2Fwoscc%2Ffull-record%2FWOS:000470682300001","View Full Record in Web of Science")</f>
        <v>View Full Record in Web of Science</v>
      </c>
    </row>
    <row r="468" spans="1:61" customFormat="1" ht="12.75" x14ac:dyDescent="0.2">
      <c r="A468" s="1">
        <v>465</v>
      </c>
      <c r="B468" s="1" t="s">
        <v>1068</v>
      </c>
      <c r="C468" s="1" t="s">
        <v>8537</v>
      </c>
      <c r="D468" s="2" t="s">
        <v>8538</v>
      </c>
      <c r="E468" s="2" t="s">
        <v>8539</v>
      </c>
      <c r="F468" s="3" t="str">
        <f>HYPERLINK("http://dx.doi.org/10.1108/JCM-04-2020-3749","http://dx.doi.org/10.1108/JCM-04-2020-3749")</f>
        <v>http://dx.doi.org/10.1108/JCM-04-2020-3749</v>
      </c>
      <c r="G468" s="2" t="s">
        <v>200</v>
      </c>
      <c r="H468" s="2" t="s">
        <v>8540</v>
      </c>
      <c r="I468" s="2" t="s">
        <v>8541</v>
      </c>
      <c r="J468" s="2" t="s">
        <v>8542</v>
      </c>
      <c r="K468" s="2" t="s">
        <v>68</v>
      </c>
      <c r="L468" s="2" t="s">
        <v>8543</v>
      </c>
      <c r="M468" s="2" t="s">
        <v>8544</v>
      </c>
      <c r="N468" s="2" t="s">
        <v>8545</v>
      </c>
      <c r="O468" s="2" t="s">
        <v>8546</v>
      </c>
      <c r="P468" s="2" t="s">
        <v>8547</v>
      </c>
      <c r="Q468" s="2" t="s">
        <v>8548</v>
      </c>
      <c r="R468" s="2" t="s">
        <v>8549</v>
      </c>
      <c r="S468" s="2" t="s">
        <v>8550</v>
      </c>
      <c r="T468" s="2" t="s">
        <v>86</v>
      </c>
      <c r="U468" s="2" t="s">
        <v>86</v>
      </c>
      <c r="V468" s="2" t="s">
        <v>86</v>
      </c>
      <c r="W468" s="2" t="s">
        <v>80</v>
      </c>
      <c r="X468" s="4">
        <v>65</v>
      </c>
      <c r="Y468" s="4">
        <v>6</v>
      </c>
      <c r="Z468" s="4">
        <v>6</v>
      </c>
      <c r="AA468" s="4">
        <v>8</v>
      </c>
      <c r="AB468" s="4">
        <v>34</v>
      </c>
      <c r="AC468" s="2" t="s">
        <v>8551</v>
      </c>
      <c r="AD468" s="2" t="s">
        <v>8552</v>
      </c>
      <c r="AE468" s="2" t="s">
        <v>8553</v>
      </c>
      <c r="AF468" s="2" t="s">
        <v>8554</v>
      </c>
      <c r="AG468" s="2" t="s">
        <v>8555</v>
      </c>
      <c r="AH468" s="2" t="s">
        <v>86</v>
      </c>
      <c r="AI468" s="2" t="s">
        <v>8556</v>
      </c>
      <c r="AJ468" s="2" t="s">
        <v>8557</v>
      </c>
      <c r="AK468" s="2" t="s">
        <v>86</v>
      </c>
      <c r="AL468" s="4">
        <v>2021</v>
      </c>
      <c r="AM468" s="4">
        <v>38</v>
      </c>
      <c r="AN468" s="4">
        <v>5</v>
      </c>
      <c r="AO468" s="2" t="s">
        <v>86</v>
      </c>
      <c r="AP468" s="2" t="s">
        <v>86</v>
      </c>
      <c r="AQ468" s="2" t="s">
        <v>86</v>
      </c>
      <c r="AR468" s="2" t="s">
        <v>86</v>
      </c>
      <c r="AS468" s="4">
        <v>484</v>
      </c>
      <c r="AT468" s="4">
        <v>494</v>
      </c>
      <c r="AU468" s="2" t="s">
        <v>86</v>
      </c>
      <c r="AV468" s="2" t="s">
        <v>86</v>
      </c>
      <c r="AW468" s="2" t="s">
        <v>827</v>
      </c>
      <c r="AX468" s="4">
        <v>11</v>
      </c>
      <c r="AY468" s="2" t="s">
        <v>8558</v>
      </c>
      <c r="AZ468" s="2" t="s">
        <v>171</v>
      </c>
      <c r="BA468" s="2" t="s">
        <v>8559</v>
      </c>
      <c r="BB468" s="2" t="s">
        <v>8560</v>
      </c>
      <c r="BC468" s="2" t="s">
        <v>86</v>
      </c>
      <c r="BD468" s="2" t="s">
        <v>86</v>
      </c>
      <c r="BE468" s="2" t="s">
        <v>86</v>
      </c>
      <c r="BF468" s="2" t="s">
        <v>86</v>
      </c>
      <c r="BG468" s="2" t="s">
        <v>95</v>
      </c>
      <c r="BH468" s="2" t="s">
        <v>8561</v>
      </c>
      <c r="BI468" s="2" t="str">
        <f>HYPERLINK("https%3A%2F%2Fwww.webofscience.com%2Fwos%2Fwoscc%2Ffull-record%2FWOS:000661430600001","View Full Record in Web of Science")</f>
        <v>View Full Record in Web of Science</v>
      </c>
    </row>
    <row r="469" spans="1:61" customFormat="1" ht="12.75" x14ac:dyDescent="0.2">
      <c r="A469" s="1">
        <v>466</v>
      </c>
      <c r="B469" s="1" t="s">
        <v>1068</v>
      </c>
      <c r="C469" s="1" t="s">
        <v>8562</v>
      </c>
      <c r="D469" s="2" t="s">
        <v>8563</v>
      </c>
      <c r="E469" s="2" t="s">
        <v>8564</v>
      </c>
      <c r="F469" s="3" t="str">
        <f>HYPERLINK("http://dx.doi.org/10.1016/j.chemosphere.2019.06.228","http://dx.doi.org/10.1016/j.chemosphere.2019.06.228")</f>
        <v>http://dx.doi.org/10.1016/j.chemosphere.2019.06.228</v>
      </c>
      <c r="G469" s="2" t="s">
        <v>200</v>
      </c>
      <c r="H469" s="2" t="s">
        <v>8565</v>
      </c>
      <c r="I469" s="2" t="s">
        <v>8566</v>
      </c>
      <c r="J469" s="2" t="s">
        <v>227</v>
      </c>
      <c r="K469" s="2" t="s">
        <v>68</v>
      </c>
      <c r="L469" s="2" t="s">
        <v>8567</v>
      </c>
      <c r="M469" s="2" t="s">
        <v>8568</v>
      </c>
      <c r="N469" s="2" t="s">
        <v>8569</v>
      </c>
      <c r="O469" s="2" t="s">
        <v>8570</v>
      </c>
      <c r="P469" s="2" t="s">
        <v>8571</v>
      </c>
      <c r="Q469" s="2" t="s">
        <v>8572</v>
      </c>
      <c r="R469" s="2" t="s">
        <v>8573</v>
      </c>
      <c r="S469" s="2" t="s">
        <v>8574</v>
      </c>
      <c r="T469" s="2" t="s">
        <v>8575</v>
      </c>
      <c r="U469" s="2" t="s">
        <v>8576</v>
      </c>
      <c r="V469" s="2" t="s">
        <v>8577</v>
      </c>
      <c r="W469" s="2" t="s">
        <v>80</v>
      </c>
      <c r="X469" s="4">
        <v>67</v>
      </c>
      <c r="Y469" s="4">
        <v>28</v>
      </c>
      <c r="Z469" s="4">
        <v>28</v>
      </c>
      <c r="AA469" s="4">
        <v>5</v>
      </c>
      <c r="AB469" s="4">
        <v>54</v>
      </c>
      <c r="AC469" s="2" t="s">
        <v>237</v>
      </c>
      <c r="AD469" s="2" t="s">
        <v>115</v>
      </c>
      <c r="AE469" s="2" t="s">
        <v>238</v>
      </c>
      <c r="AF469" s="2" t="s">
        <v>239</v>
      </c>
      <c r="AG469" s="2" t="s">
        <v>240</v>
      </c>
      <c r="AH469" s="2" t="s">
        <v>86</v>
      </c>
      <c r="AI469" s="2" t="s">
        <v>227</v>
      </c>
      <c r="AJ469" s="2" t="s">
        <v>241</v>
      </c>
      <c r="AK469" s="2" t="s">
        <v>121</v>
      </c>
      <c r="AL469" s="4">
        <v>2019</v>
      </c>
      <c r="AM469" s="4">
        <v>235</v>
      </c>
      <c r="AN469" s="2" t="s">
        <v>86</v>
      </c>
      <c r="AO469" s="2" t="s">
        <v>86</v>
      </c>
      <c r="AP469" s="2" t="s">
        <v>86</v>
      </c>
      <c r="AQ469" s="2" t="s">
        <v>86</v>
      </c>
      <c r="AR469" s="2" t="s">
        <v>86</v>
      </c>
      <c r="AS469" s="4">
        <v>1162</v>
      </c>
      <c r="AT469" s="4">
        <v>1171</v>
      </c>
      <c r="AU469" s="2" t="s">
        <v>86</v>
      </c>
      <c r="AV469" s="2" t="s">
        <v>86</v>
      </c>
      <c r="AW469" s="2" t="s">
        <v>86</v>
      </c>
      <c r="AX469" s="4">
        <v>10</v>
      </c>
      <c r="AY469" s="2" t="s">
        <v>91</v>
      </c>
      <c r="AZ469" s="2" t="s">
        <v>92</v>
      </c>
      <c r="BA469" s="2" t="s">
        <v>93</v>
      </c>
      <c r="BB469" s="2" t="s">
        <v>8578</v>
      </c>
      <c r="BC469" s="4">
        <v>31561307</v>
      </c>
      <c r="BD469" s="2" t="s">
        <v>86</v>
      </c>
      <c r="BE469" s="2" t="s">
        <v>86</v>
      </c>
      <c r="BF469" s="2" t="s">
        <v>86</v>
      </c>
      <c r="BG469" s="2" t="s">
        <v>95</v>
      </c>
      <c r="BH469" s="2" t="s">
        <v>8579</v>
      </c>
      <c r="BI469" s="2" t="str">
        <f>HYPERLINK("https%3A%2F%2Fwww.webofscience.com%2Fwos%2Fwoscc%2Ffull-record%2FWOS:000487567000126","View Full Record in Web of Science")</f>
        <v>View Full Record in Web of Science</v>
      </c>
    </row>
    <row r="470" spans="1:61" customFormat="1" ht="12.75" x14ac:dyDescent="0.2">
      <c r="A470" s="1">
        <v>467</v>
      </c>
      <c r="B470" s="1" t="s">
        <v>1068</v>
      </c>
      <c r="C470" s="1" t="s">
        <v>8580</v>
      </c>
      <c r="D470" s="2" t="s">
        <v>8581</v>
      </c>
      <c r="E470" s="2" t="s">
        <v>8582</v>
      </c>
      <c r="F470" s="3" t="str">
        <f>HYPERLINK("http://dx.doi.org/10.33988/auvfd.441862","http://dx.doi.org/10.33988/auvfd.441862")</f>
        <v>http://dx.doi.org/10.33988/auvfd.441862</v>
      </c>
      <c r="G470" s="2" t="s">
        <v>200</v>
      </c>
      <c r="H470" s="2" t="s">
        <v>8583</v>
      </c>
      <c r="I470" s="2" t="s">
        <v>8584</v>
      </c>
      <c r="J470" s="2" t="s">
        <v>8585</v>
      </c>
      <c r="K470" s="2" t="s">
        <v>68</v>
      </c>
      <c r="L470" s="2" t="s">
        <v>8586</v>
      </c>
      <c r="M470" s="2" t="s">
        <v>8587</v>
      </c>
      <c r="N470" s="2" t="s">
        <v>8588</v>
      </c>
      <c r="O470" s="2" t="s">
        <v>8589</v>
      </c>
      <c r="P470" s="2" t="s">
        <v>8590</v>
      </c>
      <c r="Q470" s="2" t="s">
        <v>8591</v>
      </c>
      <c r="R470" s="2" t="s">
        <v>8592</v>
      </c>
      <c r="S470" s="2" t="s">
        <v>8593</v>
      </c>
      <c r="T470" s="2" t="s">
        <v>86</v>
      </c>
      <c r="U470" s="2" t="s">
        <v>86</v>
      </c>
      <c r="V470" s="2" t="s">
        <v>86</v>
      </c>
      <c r="W470" s="2" t="s">
        <v>80</v>
      </c>
      <c r="X470" s="4">
        <v>60</v>
      </c>
      <c r="Y470" s="4">
        <v>4</v>
      </c>
      <c r="Z470" s="4">
        <v>4</v>
      </c>
      <c r="AA470" s="4">
        <v>2</v>
      </c>
      <c r="AB470" s="4">
        <v>11</v>
      </c>
      <c r="AC470" s="2" t="s">
        <v>8594</v>
      </c>
      <c r="AD470" s="2" t="s">
        <v>932</v>
      </c>
      <c r="AE470" s="2" t="s">
        <v>8595</v>
      </c>
      <c r="AF470" s="2" t="s">
        <v>8596</v>
      </c>
      <c r="AG470" s="2" t="s">
        <v>8597</v>
      </c>
      <c r="AH470" s="2" t="s">
        <v>86</v>
      </c>
      <c r="AI470" s="2" t="s">
        <v>8598</v>
      </c>
      <c r="AJ470" s="2" t="s">
        <v>8599</v>
      </c>
      <c r="AK470" s="2" t="s">
        <v>86</v>
      </c>
      <c r="AL470" s="4">
        <v>2019</v>
      </c>
      <c r="AM470" s="4">
        <v>66</v>
      </c>
      <c r="AN470" s="4">
        <v>3</v>
      </c>
      <c r="AO470" s="2" t="s">
        <v>86</v>
      </c>
      <c r="AP470" s="2" t="s">
        <v>86</v>
      </c>
      <c r="AQ470" s="2" t="s">
        <v>86</v>
      </c>
      <c r="AR470" s="2" t="s">
        <v>86</v>
      </c>
      <c r="AS470" s="4">
        <v>237</v>
      </c>
      <c r="AT470" s="4">
        <v>245</v>
      </c>
      <c r="AU470" s="2" t="s">
        <v>86</v>
      </c>
      <c r="AV470" s="2" t="s">
        <v>86</v>
      </c>
      <c r="AW470" s="2" t="s">
        <v>86</v>
      </c>
      <c r="AX470" s="4">
        <v>9</v>
      </c>
      <c r="AY470" s="2" t="s">
        <v>1881</v>
      </c>
      <c r="AZ470" s="2" t="s">
        <v>92</v>
      </c>
      <c r="BA470" s="2" t="s">
        <v>1881</v>
      </c>
      <c r="BB470" s="2" t="s">
        <v>8600</v>
      </c>
      <c r="BC470" s="2" t="s">
        <v>86</v>
      </c>
      <c r="BD470" s="2" t="s">
        <v>940</v>
      </c>
      <c r="BE470" s="2" t="s">
        <v>86</v>
      </c>
      <c r="BF470" s="2" t="s">
        <v>86</v>
      </c>
      <c r="BG470" s="2" t="s">
        <v>95</v>
      </c>
      <c r="BH470" s="2" t="s">
        <v>8601</v>
      </c>
      <c r="BI470" s="2" t="str">
        <f>HYPERLINK("https%3A%2F%2Fwww.webofscience.com%2Fwos%2Fwoscc%2Ffull-record%2FWOS:000472627700003","View Full Record in Web of Science")</f>
        <v>View Full Record in Web of Science</v>
      </c>
    </row>
    <row r="471" spans="1:61" customFormat="1" ht="12.75" x14ac:dyDescent="0.2">
      <c r="A471" s="1">
        <v>468</v>
      </c>
      <c r="B471" s="1" t="s">
        <v>1068</v>
      </c>
      <c r="C471" s="1" t="s">
        <v>8602</v>
      </c>
      <c r="D471" s="2" t="s">
        <v>8603</v>
      </c>
      <c r="E471" s="2" t="s">
        <v>86</v>
      </c>
      <c r="F471" s="2" t="s">
        <v>86</v>
      </c>
      <c r="G471" s="2" t="s">
        <v>200</v>
      </c>
      <c r="H471" s="2" t="s">
        <v>8604</v>
      </c>
      <c r="I471" s="2" t="s">
        <v>8605</v>
      </c>
      <c r="J471" s="2" t="s">
        <v>8606</v>
      </c>
      <c r="K471" s="2" t="s">
        <v>68</v>
      </c>
      <c r="L471" s="2" t="s">
        <v>8607</v>
      </c>
      <c r="M471" s="2" t="s">
        <v>8608</v>
      </c>
      <c r="N471" s="2" t="s">
        <v>8609</v>
      </c>
      <c r="O471" s="2" t="s">
        <v>8610</v>
      </c>
      <c r="P471" s="2" t="s">
        <v>8611</v>
      </c>
      <c r="Q471" s="2" t="s">
        <v>8612</v>
      </c>
      <c r="R471" s="2" t="s">
        <v>8613</v>
      </c>
      <c r="S471" s="2" t="s">
        <v>8614</v>
      </c>
      <c r="T471" s="2" t="s">
        <v>86</v>
      </c>
      <c r="U471" s="2" t="s">
        <v>86</v>
      </c>
      <c r="V471" s="2" t="s">
        <v>86</v>
      </c>
      <c r="W471" s="2" t="s">
        <v>80</v>
      </c>
      <c r="X471" s="4">
        <v>22</v>
      </c>
      <c r="Y471" s="4">
        <v>9</v>
      </c>
      <c r="Z471" s="4">
        <v>9</v>
      </c>
      <c r="AA471" s="4">
        <v>0</v>
      </c>
      <c r="AB471" s="4">
        <v>8</v>
      </c>
      <c r="AC471" s="2" t="s">
        <v>8615</v>
      </c>
      <c r="AD471" s="2" t="s">
        <v>4575</v>
      </c>
      <c r="AE471" s="2" t="s">
        <v>8616</v>
      </c>
      <c r="AF471" s="2" t="s">
        <v>8617</v>
      </c>
      <c r="AG471" s="2" t="s">
        <v>86</v>
      </c>
      <c r="AH471" s="2" t="s">
        <v>86</v>
      </c>
      <c r="AI471" s="2" t="s">
        <v>8618</v>
      </c>
      <c r="AJ471" s="2" t="s">
        <v>8619</v>
      </c>
      <c r="AK471" s="2" t="s">
        <v>146</v>
      </c>
      <c r="AL471" s="4">
        <v>2015</v>
      </c>
      <c r="AM471" s="4">
        <v>65</v>
      </c>
      <c r="AN471" s="4">
        <v>2</v>
      </c>
      <c r="AO471" s="2" t="s">
        <v>86</v>
      </c>
      <c r="AP471" s="2" t="s">
        <v>86</v>
      </c>
      <c r="AQ471" s="2" t="s">
        <v>86</v>
      </c>
      <c r="AR471" s="2" t="s">
        <v>86</v>
      </c>
      <c r="AS471" s="4">
        <v>115</v>
      </c>
      <c r="AT471" s="4">
        <v>119</v>
      </c>
      <c r="AU471" s="2" t="s">
        <v>86</v>
      </c>
      <c r="AV471" s="2" t="s">
        <v>86</v>
      </c>
      <c r="AW471" s="2" t="s">
        <v>86</v>
      </c>
      <c r="AX471" s="4">
        <v>5</v>
      </c>
      <c r="AY471" s="2" t="s">
        <v>8620</v>
      </c>
      <c r="AZ471" s="2" t="s">
        <v>92</v>
      </c>
      <c r="BA471" s="2" t="s">
        <v>8621</v>
      </c>
      <c r="BB471" s="2" t="s">
        <v>8622</v>
      </c>
      <c r="BC471" s="4">
        <v>25842542</v>
      </c>
      <c r="BD471" s="2" t="s">
        <v>86</v>
      </c>
      <c r="BE471" s="2" t="s">
        <v>86</v>
      </c>
      <c r="BF471" s="2" t="s">
        <v>86</v>
      </c>
      <c r="BG471" s="2" t="s">
        <v>95</v>
      </c>
      <c r="BH471" s="2" t="s">
        <v>8623</v>
      </c>
      <c r="BI471" s="2" t="str">
        <f>HYPERLINK("https%3A%2F%2Fwww.webofscience.com%2Fwos%2Fwoscc%2Ffull-record%2FWOS:000349195700002","View Full Record in Web of Science")</f>
        <v>View Full Record in Web of Science</v>
      </c>
    </row>
    <row r="472" spans="1:61" customFormat="1" ht="12.75" x14ac:dyDescent="0.2">
      <c r="A472" s="1">
        <v>469</v>
      </c>
      <c r="B472" s="1" t="s">
        <v>1068</v>
      </c>
      <c r="C472" s="1" t="s">
        <v>8624</v>
      </c>
      <c r="D472" s="2" t="s">
        <v>8625</v>
      </c>
      <c r="E472" s="2" t="s">
        <v>8626</v>
      </c>
      <c r="F472" s="3" t="str">
        <f>HYPERLINK("http://dx.doi.org/10.1016/j.bjps.2021.05.003","http://dx.doi.org/10.1016/j.bjps.2021.05.003")</f>
        <v>http://dx.doi.org/10.1016/j.bjps.2021.05.003</v>
      </c>
      <c r="G472" s="2" t="s">
        <v>200</v>
      </c>
      <c r="H472" s="2" t="s">
        <v>8627</v>
      </c>
      <c r="I472" s="2" t="s">
        <v>8628</v>
      </c>
      <c r="J472" s="2" t="s">
        <v>7742</v>
      </c>
      <c r="K472" s="2" t="s">
        <v>68</v>
      </c>
      <c r="L472" s="2" t="s">
        <v>8629</v>
      </c>
      <c r="M472" s="2" t="s">
        <v>8630</v>
      </c>
      <c r="N472" s="2" t="s">
        <v>8631</v>
      </c>
      <c r="O472" s="2" t="s">
        <v>3510</v>
      </c>
      <c r="P472" s="2" t="s">
        <v>8632</v>
      </c>
      <c r="Q472" s="2" t="s">
        <v>8633</v>
      </c>
      <c r="R472" s="2" t="s">
        <v>8634</v>
      </c>
      <c r="S472" s="2" t="s">
        <v>8635</v>
      </c>
      <c r="T472" s="2" t="s">
        <v>86</v>
      </c>
      <c r="U472" s="2" t="s">
        <v>86</v>
      </c>
      <c r="V472" s="2" t="s">
        <v>86</v>
      </c>
      <c r="W472" s="2" t="s">
        <v>80</v>
      </c>
      <c r="X472" s="4">
        <v>41</v>
      </c>
      <c r="Y472" s="4">
        <v>2</v>
      </c>
      <c r="Z472" s="4">
        <v>2</v>
      </c>
      <c r="AA472" s="4">
        <v>0</v>
      </c>
      <c r="AB472" s="4">
        <v>1</v>
      </c>
      <c r="AC472" s="2" t="s">
        <v>114</v>
      </c>
      <c r="AD472" s="2" t="s">
        <v>115</v>
      </c>
      <c r="AE472" s="2" t="s">
        <v>116</v>
      </c>
      <c r="AF472" s="2" t="s">
        <v>7751</v>
      </c>
      <c r="AG472" s="2" t="s">
        <v>7752</v>
      </c>
      <c r="AH472" s="2" t="s">
        <v>86</v>
      </c>
      <c r="AI472" s="2" t="s">
        <v>7753</v>
      </c>
      <c r="AJ472" s="2" t="s">
        <v>7754</v>
      </c>
      <c r="AK472" s="2" t="s">
        <v>217</v>
      </c>
      <c r="AL472" s="4">
        <v>2021</v>
      </c>
      <c r="AM472" s="4">
        <v>74</v>
      </c>
      <c r="AN472" s="4">
        <v>12</v>
      </c>
      <c r="AO472" s="2" t="s">
        <v>86</v>
      </c>
      <c r="AP472" s="2" t="s">
        <v>86</v>
      </c>
      <c r="AQ472" s="2" t="s">
        <v>86</v>
      </c>
      <c r="AR472" s="2" t="s">
        <v>86</v>
      </c>
      <c r="AS472" s="4">
        <v>3404</v>
      </c>
      <c r="AT472" s="4">
        <v>3414</v>
      </c>
      <c r="AU472" s="2" t="s">
        <v>86</v>
      </c>
      <c r="AV472" s="2" t="s">
        <v>86</v>
      </c>
      <c r="AW472" s="2" t="s">
        <v>1781</v>
      </c>
      <c r="AX472" s="4">
        <v>11</v>
      </c>
      <c r="AY472" s="2" t="s">
        <v>5289</v>
      </c>
      <c r="AZ472" s="2" t="s">
        <v>92</v>
      </c>
      <c r="BA472" s="2" t="s">
        <v>5289</v>
      </c>
      <c r="BB472" s="2" t="s">
        <v>8636</v>
      </c>
      <c r="BC472" s="4">
        <v>34176744</v>
      </c>
      <c r="BD472" s="2" t="s">
        <v>86</v>
      </c>
      <c r="BE472" s="2" t="s">
        <v>86</v>
      </c>
      <c r="BF472" s="2" t="s">
        <v>86</v>
      </c>
      <c r="BG472" s="2" t="s">
        <v>95</v>
      </c>
      <c r="BH472" s="2" t="s">
        <v>8637</v>
      </c>
      <c r="BI472" s="2" t="str">
        <f>HYPERLINK("https%3A%2F%2Fwww.webofscience.com%2Fwos%2Fwoscc%2Ffull-record%2FWOS:000725060900019","View Full Record in Web of Science")</f>
        <v>View Full Record in Web of Science</v>
      </c>
    </row>
    <row r="473" spans="1:61" customFormat="1" ht="12.75" x14ac:dyDescent="0.2">
      <c r="A473" s="1">
        <v>470</v>
      </c>
      <c r="B473" s="1" t="s">
        <v>1068</v>
      </c>
      <c r="C473" s="1" t="s">
        <v>8638</v>
      </c>
      <c r="D473" s="2" t="s">
        <v>8639</v>
      </c>
      <c r="E473" s="2" t="s">
        <v>8640</v>
      </c>
      <c r="F473" s="3" t="str">
        <f>HYPERLINK("http://dx.doi.org/10.1016/j.talanta.2013.05.076","http://dx.doi.org/10.1016/j.talanta.2013.05.076")</f>
        <v>http://dx.doi.org/10.1016/j.talanta.2013.05.076</v>
      </c>
      <c r="G473" s="2" t="s">
        <v>200</v>
      </c>
      <c r="H473" s="2" t="s">
        <v>8641</v>
      </c>
      <c r="I473" s="2" t="s">
        <v>8642</v>
      </c>
      <c r="J473" s="2" t="s">
        <v>8643</v>
      </c>
      <c r="K473" s="2" t="s">
        <v>68</v>
      </c>
      <c r="L473" s="2" t="s">
        <v>8644</v>
      </c>
      <c r="M473" s="2" t="s">
        <v>8645</v>
      </c>
      <c r="N473" s="2" t="s">
        <v>8646</v>
      </c>
      <c r="O473" s="2" t="s">
        <v>8647</v>
      </c>
      <c r="P473" s="2" t="s">
        <v>8648</v>
      </c>
      <c r="Q473" s="2" t="s">
        <v>8649</v>
      </c>
      <c r="R473" s="2" t="s">
        <v>8650</v>
      </c>
      <c r="S473" s="2" t="s">
        <v>8651</v>
      </c>
      <c r="T473" s="2" t="s">
        <v>8652</v>
      </c>
      <c r="U473" s="2" t="s">
        <v>1894</v>
      </c>
      <c r="V473" s="2" t="s">
        <v>8653</v>
      </c>
      <c r="W473" s="2" t="s">
        <v>80</v>
      </c>
      <c r="X473" s="4">
        <v>32</v>
      </c>
      <c r="Y473" s="4">
        <v>26</v>
      </c>
      <c r="Z473" s="4">
        <v>28</v>
      </c>
      <c r="AA473" s="4">
        <v>3</v>
      </c>
      <c r="AB473" s="4">
        <v>82</v>
      </c>
      <c r="AC473" s="2" t="s">
        <v>585</v>
      </c>
      <c r="AD473" s="2" t="s">
        <v>586</v>
      </c>
      <c r="AE473" s="2" t="s">
        <v>587</v>
      </c>
      <c r="AF473" s="2" t="s">
        <v>8654</v>
      </c>
      <c r="AG473" s="2" t="s">
        <v>8655</v>
      </c>
      <c r="AH473" s="2" t="s">
        <v>86</v>
      </c>
      <c r="AI473" s="2" t="s">
        <v>8643</v>
      </c>
      <c r="AJ473" s="2" t="s">
        <v>8656</v>
      </c>
      <c r="AK473" s="2" t="s">
        <v>1574</v>
      </c>
      <c r="AL473" s="4">
        <v>2013</v>
      </c>
      <c r="AM473" s="4">
        <v>116</v>
      </c>
      <c r="AN473" s="2" t="s">
        <v>86</v>
      </c>
      <c r="AO473" s="2" t="s">
        <v>86</v>
      </c>
      <c r="AP473" s="2" t="s">
        <v>86</v>
      </c>
      <c r="AQ473" s="2" t="s">
        <v>86</v>
      </c>
      <c r="AR473" s="2" t="s">
        <v>86</v>
      </c>
      <c r="AS473" s="4">
        <v>417</v>
      </c>
      <c r="AT473" s="4">
        <v>426</v>
      </c>
      <c r="AU473" s="2" t="s">
        <v>86</v>
      </c>
      <c r="AV473" s="2" t="s">
        <v>86</v>
      </c>
      <c r="AW473" s="2" t="s">
        <v>86</v>
      </c>
      <c r="AX473" s="4">
        <v>10</v>
      </c>
      <c r="AY473" s="2" t="s">
        <v>900</v>
      </c>
      <c r="AZ473" s="2" t="s">
        <v>92</v>
      </c>
      <c r="BA473" s="2" t="s">
        <v>901</v>
      </c>
      <c r="BB473" s="2" t="s">
        <v>8657</v>
      </c>
      <c r="BC473" s="4">
        <v>24148424</v>
      </c>
      <c r="BD473" s="2" t="s">
        <v>86</v>
      </c>
      <c r="BE473" s="2" t="s">
        <v>86</v>
      </c>
      <c r="BF473" s="2" t="s">
        <v>86</v>
      </c>
      <c r="BG473" s="2" t="s">
        <v>95</v>
      </c>
      <c r="BH473" s="2" t="s">
        <v>8658</v>
      </c>
      <c r="BI473" s="2" t="str">
        <f>HYPERLINK("https%3A%2F%2Fwww.webofscience.com%2Fwos%2Fwoscc%2Ffull-record%2FWOS:000328176000061","View Full Record in Web of Science")</f>
        <v>View Full Record in Web of Science</v>
      </c>
    </row>
    <row r="474" spans="1:61" customFormat="1" ht="12.75" x14ac:dyDescent="0.2">
      <c r="A474" s="1">
        <v>471</v>
      </c>
      <c r="B474" s="1" t="s">
        <v>1068</v>
      </c>
      <c r="C474" s="1" t="s">
        <v>8659</v>
      </c>
      <c r="D474" s="2" t="s">
        <v>8660</v>
      </c>
      <c r="E474" s="2" t="s">
        <v>8661</v>
      </c>
      <c r="F474" s="3" t="str">
        <f>HYPERLINK("http://dx.doi.org/10.1016/j.scitotenv.2020.139201","http://dx.doi.org/10.1016/j.scitotenv.2020.139201")</f>
        <v>http://dx.doi.org/10.1016/j.scitotenv.2020.139201</v>
      </c>
      <c r="G474" s="2" t="s">
        <v>200</v>
      </c>
      <c r="H474" s="2" t="s">
        <v>8662</v>
      </c>
      <c r="I474" s="2" t="s">
        <v>8663</v>
      </c>
      <c r="J474" s="2" t="s">
        <v>576</v>
      </c>
      <c r="K474" s="2" t="s">
        <v>68</v>
      </c>
      <c r="L474" s="2" t="s">
        <v>8664</v>
      </c>
      <c r="M474" s="2" t="s">
        <v>8665</v>
      </c>
      <c r="N474" s="2" t="s">
        <v>8666</v>
      </c>
      <c r="O474" s="2" t="s">
        <v>8667</v>
      </c>
      <c r="P474" s="2" t="s">
        <v>8668</v>
      </c>
      <c r="Q474" s="2" t="s">
        <v>8669</v>
      </c>
      <c r="R474" s="2" t="s">
        <v>8670</v>
      </c>
      <c r="S474" s="2" t="s">
        <v>8671</v>
      </c>
      <c r="T474" s="2" t="s">
        <v>8672</v>
      </c>
      <c r="U474" s="2" t="s">
        <v>8673</v>
      </c>
      <c r="V474" s="2" t="s">
        <v>8674</v>
      </c>
      <c r="W474" s="2" t="s">
        <v>80</v>
      </c>
      <c r="X474" s="4">
        <v>60</v>
      </c>
      <c r="Y474" s="4">
        <v>17</v>
      </c>
      <c r="Z474" s="4">
        <v>19</v>
      </c>
      <c r="AA474" s="4">
        <v>16</v>
      </c>
      <c r="AB474" s="4">
        <v>143</v>
      </c>
      <c r="AC474" s="2" t="s">
        <v>585</v>
      </c>
      <c r="AD474" s="2" t="s">
        <v>586</v>
      </c>
      <c r="AE474" s="2" t="s">
        <v>587</v>
      </c>
      <c r="AF474" s="2" t="s">
        <v>588</v>
      </c>
      <c r="AG474" s="2" t="s">
        <v>589</v>
      </c>
      <c r="AH474" s="2" t="s">
        <v>86</v>
      </c>
      <c r="AI474" s="2" t="s">
        <v>590</v>
      </c>
      <c r="AJ474" s="2" t="s">
        <v>591</v>
      </c>
      <c r="AK474" s="2" t="s">
        <v>7138</v>
      </c>
      <c r="AL474" s="4">
        <v>2020</v>
      </c>
      <c r="AM474" s="4">
        <v>731</v>
      </c>
      <c r="AN474" s="2" t="s">
        <v>86</v>
      </c>
      <c r="AO474" s="2" t="s">
        <v>86</v>
      </c>
      <c r="AP474" s="2" t="s">
        <v>86</v>
      </c>
      <c r="AQ474" s="2" t="s">
        <v>86</v>
      </c>
      <c r="AR474" s="2" t="s">
        <v>86</v>
      </c>
      <c r="AS474" s="2" t="s">
        <v>86</v>
      </c>
      <c r="AT474" s="2" t="s">
        <v>86</v>
      </c>
      <c r="AU474" s="4">
        <v>139201</v>
      </c>
      <c r="AV474" s="2" t="s">
        <v>86</v>
      </c>
      <c r="AW474" s="2" t="s">
        <v>86</v>
      </c>
      <c r="AX474" s="4">
        <v>18</v>
      </c>
      <c r="AY474" s="2" t="s">
        <v>91</v>
      </c>
      <c r="AZ474" s="2" t="s">
        <v>92</v>
      </c>
      <c r="BA474" s="2" t="s">
        <v>93</v>
      </c>
      <c r="BB474" s="2" t="s">
        <v>8675</v>
      </c>
      <c r="BC474" s="4">
        <v>32402909</v>
      </c>
      <c r="BD474" s="2" t="s">
        <v>86</v>
      </c>
      <c r="BE474" s="2" t="s">
        <v>86</v>
      </c>
      <c r="BF474" s="2" t="s">
        <v>86</v>
      </c>
      <c r="BG474" s="2" t="s">
        <v>95</v>
      </c>
      <c r="BH474" s="2" t="s">
        <v>8676</v>
      </c>
      <c r="BI474" s="2" t="str">
        <f>HYPERLINK("https%3A%2F%2Fwww.webofscience.com%2Fwos%2Fwoscc%2Ffull-record%2FWOS:000537247700010","View Full Record in Web of Science")</f>
        <v>View Full Record in Web of Science</v>
      </c>
    </row>
    <row r="475" spans="1:61" customFormat="1" ht="12.75" x14ac:dyDescent="0.2">
      <c r="A475" s="1">
        <v>472</v>
      </c>
      <c r="B475" s="1" t="s">
        <v>1068</v>
      </c>
      <c r="C475" s="1" t="s">
        <v>8677</v>
      </c>
      <c r="D475" s="2" t="s">
        <v>8678</v>
      </c>
      <c r="E475" s="2" t="s">
        <v>8679</v>
      </c>
      <c r="F475" s="3" t="str">
        <f>HYPERLINK("http://dx.doi.org/10.1016/j.bjps.2023.02.0051748-6815","http://dx.doi.org/10.1016/j.bjps.2023.02.0051748-6815")</f>
        <v>http://dx.doi.org/10.1016/j.bjps.2023.02.0051748-6815</v>
      </c>
      <c r="G475" s="2" t="s">
        <v>200</v>
      </c>
      <c r="H475" s="2" t="s">
        <v>8680</v>
      </c>
      <c r="I475" s="2" t="s">
        <v>8681</v>
      </c>
      <c r="J475" s="2" t="s">
        <v>7742</v>
      </c>
      <c r="K475" s="2" t="s">
        <v>68</v>
      </c>
      <c r="L475" s="2" t="s">
        <v>8682</v>
      </c>
      <c r="M475" s="2" t="s">
        <v>8683</v>
      </c>
      <c r="N475" s="2" t="s">
        <v>8684</v>
      </c>
      <c r="O475" s="2" t="s">
        <v>624</v>
      </c>
      <c r="P475" s="2" t="s">
        <v>8685</v>
      </c>
      <c r="Q475" s="2" t="s">
        <v>8686</v>
      </c>
      <c r="R475" s="2" t="s">
        <v>86</v>
      </c>
      <c r="S475" s="2" t="s">
        <v>86</v>
      </c>
      <c r="T475" s="2" t="s">
        <v>86</v>
      </c>
      <c r="U475" s="2" t="s">
        <v>86</v>
      </c>
      <c r="V475" s="2" t="s">
        <v>86</v>
      </c>
      <c r="W475" s="2" t="s">
        <v>80</v>
      </c>
      <c r="X475" s="4">
        <v>41</v>
      </c>
      <c r="Y475" s="4">
        <v>0</v>
      </c>
      <c r="Z475" s="4">
        <v>0</v>
      </c>
      <c r="AA475" s="4">
        <v>0</v>
      </c>
      <c r="AB475" s="4">
        <v>0</v>
      </c>
      <c r="AC475" s="2" t="s">
        <v>114</v>
      </c>
      <c r="AD475" s="2" t="s">
        <v>115</v>
      </c>
      <c r="AE475" s="2" t="s">
        <v>116</v>
      </c>
      <c r="AF475" s="2" t="s">
        <v>7751</v>
      </c>
      <c r="AG475" s="2" t="s">
        <v>7752</v>
      </c>
      <c r="AH475" s="2" t="s">
        <v>86</v>
      </c>
      <c r="AI475" s="2" t="s">
        <v>7753</v>
      </c>
      <c r="AJ475" s="2" t="s">
        <v>7754</v>
      </c>
      <c r="AK475" s="2" t="s">
        <v>1458</v>
      </c>
      <c r="AL475" s="4">
        <v>2023</v>
      </c>
      <c r="AM475" s="4">
        <v>82</v>
      </c>
      <c r="AN475" s="2" t="s">
        <v>86</v>
      </c>
      <c r="AO475" s="2" t="s">
        <v>86</v>
      </c>
      <c r="AP475" s="2" t="s">
        <v>86</v>
      </c>
      <c r="AQ475" s="2" t="s">
        <v>86</v>
      </c>
      <c r="AR475" s="2" t="s">
        <v>86</v>
      </c>
      <c r="AS475" s="4">
        <v>284</v>
      </c>
      <c r="AT475" s="4">
        <v>290</v>
      </c>
      <c r="AU475" s="2" t="s">
        <v>86</v>
      </c>
      <c r="AV475" s="2" t="s">
        <v>86</v>
      </c>
      <c r="AW475" s="2" t="s">
        <v>86</v>
      </c>
      <c r="AX475" s="4">
        <v>7</v>
      </c>
      <c r="AY475" s="2" t="s">
        <v>5289</v>
      </c>
      <c r="AZ475" s="2" t="s">
        <v>92</v>
      </c>
      <c r="BA475" s="2" t="s">
        <v>5289</v>
      </c>
      <c r="BB475" s="2" t="s">
        <v>8687</v>
      </c>
      <c r="BC475" s="4">
        <v>37279613</v>
      </c>
      <c r="BD475" s="2" t="s">
        <v>86</v>
      </c>
      <c r="BE475" s="2" t="s">
        <v>86</v>
      </c>
      <c r="BF475" s="2" t="s">
        <v>86</v>
      </c>
      <c r="BG475" s="2" t="s">
        <v>95</v>
      </c>
      <c r="BH475" s="2" t="s">
        <v>8688</v>
      </c>
      <c r="BI475" s="2" t="str">
        <f>HYPERLINK("https%3A%2F%2Fwww.webofscience.com%2Fwos%2Fwoscc%2Ffull-record%2FWOS:001012273000001","View Full Record in Web of Science")</f>
        <v>View Full Record in Web of Science</v>
      </c>
    </row>
    <row r="476" spans="1:61" customFormat="1" ht="12.75" x14ac:dyDescent="0.2">
      <c r="A476" s="1">
        <v>473</v>
      </c>
      <c r="B476" s="1" t="s">
        <v>1068</v>
      </c>
      <c r="C476" s="1" t="s">
        <v>8689</v>
      </c>
      <c r="D476" s="2" t="s">
        <v>8690</v>
      </c>
      <c r="E476" s="2" t="s">
        <v>8691</v>
      </c>
      <c r="F476" s="3" t="str">
        <f>HYPERLINK("http://dx.doi.org/10.1016/j.ijpharm.2007.11.018","http://dx.doi.org/10.1016/j.ijpharm.2007.11.018")</f>
        <v>http://dx.doi.org/10.1016/j.ijpharm.2007.11.018</v>
      </c>
      <c r="G476" s="2" t="s">
        <v>200</v>
      </c>
      <c r="H476" s="2" t="s">
        <v>8692</v>
      </c>
      <c r="I476" s="2" t="s">
        <v>8693</v>
      </c>
      <c r="J476" s="2" t="s">
        <v>8694</v>
      </c>
      <c r="K476" s="2" t="s">
        <v>68</v>
      </c>
      <c r="L476" s="2" t="s">
        <v>8695</v>
      </c>
      <c r="M476" s="2" t="s">
        <v>8696</v>
      </c>
      <c r="N476" s="2" t="s">
        <v>8697</v>
      </c>
      <c r="O476" s="2" t="s">
        <v>8698</v>
      </c>
      <c r="P476" s="2" t="s">
        <v>8699</v>
      </c>
      <c r="Q476" s="2" t="s">
        <v>8700</v>
      </c>
      <c r="R476" s="2" t="s">
        <v>86</v>
      </c>
      <c r="S476" s="2" t="s">
        <v>86</v>
      </c>
      <c r="T476" s="2" t="s">
        <v>86</v>
      </c>
      <c r="U476" s="2" t="s">
        <v>86</v>
      </c>
      <c r="V476" s="2" t="s">
        <v>86</v>
      </c>
      <c r="W476" s="2" t="s">
        <v>80</v>
      </c>
      <c r="X476" s="4">
        <v>25</v>
      </c>
      <c r="Y476" s="4">
        <v>24</v>
      </c>
      <c r="Z476" s="4">
        <v>25</v>
      </c>
      <c r="AA476" s="4">
        <v>0</v>
      </c>
      <c r="AB476" s="4">
        <v>19</v>
      </c>
      <c r="AC476" s="2" t="s">
        <v>4555</v>
      </c>
      <c r="AD476" s="2" t="s">
        <v>586</v>
      </c>
      <c r="AE476" s="2" t="s">
        <v>4556</v>
      </c>
      <c r="AF476" s="2" t="s">
        <v>8701</v>
      </c>
      <c r="AG476" s="2" t="s">
        <v>86</v>
      </c>
      <c r="AH476" s="2" t="s">
        <v>86</v>
      </c>
      <c r="AI476" s="2" t="s">
        <v>8702</v>
      </c>
      <c r="AJ476" s="2" t="s">
        <v>8703</v>
      </c>
      <c r="AK476" s="2" t="s">
        <v>8704</v>
      </c>
      <c r="AL476" s="4">
        <v>2008</v>
      </c>
      <c r="AM476" s="4">
        <v>353</v>
      </c>
      <c r="AN476" s="2" t="s">
        <v>1532</v>
      </c>
      <c r="AO476" s="2" t="s">
        <v>86</v>
      </c>
      <c r="AP476" s="2" t="s">
        <v>86</v>
      </c>
      <c r="AQ476" s="2" t="s">
        <v>86</v>
      </c>
      <c r="AR476" s="2" t="s">
        <v>86</v>
      </c>
      <c r="AS476" s="4">
        <v>45</v>
      </c>
      <c r="AT476" s="4">
        <v>51</v>
      </c>
      <c r="AU476" s="2" t="s">
        <v>86</v>
      </c>
      <c r="AV476" s="2" t="s">
        <v>86</v>
      </c>
      <c r="AW476" s="2" t="s">
        <v>86</v>
      </c>
      <c r="AX476" s="4">
        <v>7</v>
      </c>
      <c r="AY476" s="2" t="s">
        <v>8039</v>
      </c>
      <c r="AZ476" s="2" t="s">
        <v>92</v>
      </c>
      <c r="BA476" s="2" t="s">
        <v>8039</v>
      </c>
      <c r="BB476" s="2" t="s">
        <v>8705</v>
      </c>
      <c r="BC476" s="4">
        <v>18160235</v>
      </c>
      <c r="BD476" s="2" t="s">
        <v>86</v>
      </c>
      <c r="BE476" s="2" t="s">
        <v>86</v>
      </c>
      <c r="BF476" s="2" t="s">
        <v>86</v>
      </c>
      <c r="BG476" s="2" t="s">
        <v>95</v>
      </c>
      <c r="BH476" s="2" t="s">
        <v>8706</v>
      </c>
      <c r="BI476" s="2" t="str">
        <f>HYPERLINK("https%3A%2F%2Fwww.webofscience.com%2Fwos%2Fwoscc%2Ffull-record%2FWOS:000255320000007","View Full Record in Web of Science")</f>
        <v>View Full Record in Web of Science</v>
      </c>
    </row>
    <row r="477" spans="1:61" customFormat="1" ht="12.75" x14ac:dyDescent="0.2">
      <c r="A477" s="1">
        <v>474</v>
      </c>
      <c r="B477" s="1" t="s">
        <v>1068</v>
      </c>
      <c r="C477" s="1" t="s">
        <v>8707</v>
      </c>
      <c r="D477" s="2" t="s">
        <v>8708</v>
      </c>
      <c r="E477" s="2" t="s">
        <v>8709</v>
      </c>
      <c r="F477" s="3" t="str">
        <f>HYPERLINK("http://dx.doi.org/10.5713/ajas.17.0834","http://dx.doi.org/10.5713/ajas.17.0834")</f>
        <v>http://dx.doi.org/10.5713/ajas.17.0834</v>
      </c>
      <c r="G477" s="2" t="s">
        <v>200</v>
      </c>
      <c r="H477" s="2" t="s">
        <v>8710</v>
      </c>
      <c r="I477" s="2" t="s">
        <v>8711</v>
      </c>
      <c r="J477" s="2" t="s">
        <v>8383</v>
      </c>
      <c r="K477" s="2" t="s">
        <v>68</v>
      </c>
      <c r="L477" s="2" t="s">
        <v>8712</v>
      </c>
      <c r="M477" s="2" t="s">
        <v>8713</v>
      </c>
      <c r="N477" s="2" t="s">
        <v>8714</v>
      </c>
      <c r="O477" s="2" t="s">
        <v>5453</v>
      </c>
      <c r="P477" s="2" t="s">
        <v>8715</v>
      </c>
      <c r="Q477" s="2" t="s">
        <v>8716</v>
      </c>
      <c r="R477" s="2" t="s">
        <v>8717</v>
      </c>
      <c r="S477" s="2" t="s">
        <v>8718</v>
      </c>
      <c r="T477" s="2" t="s">
        <v>8719</v>
      </c>
      <c r="U477" s="2" t="s">
        <v>8720</v>
      </c>
      <c r="V477" s="2" t="s">
        <v>8721</v>
      </c>
      <c r="W477" s="2" t="s">
        <v>80</v>
      </c>
      <c r="X477" s="4">
        <v>30</v>
      </c>
      <c r="Y477" s="4">
        <v>12</v>
      </c>
      <c r="Z477" s="4">
        <v>16</v>
      </c>
      <c r="AA477" s="4">
        <v>1</v>
      </c>
      <c r="AB477" s="4">
        <v>29</v>
      </c>
      <c r="AC477" s="2" t="s">
        <v>8394</v>
      </c>
      <c r="AD477" s="2" t="s">
        <v>4297</v>
      </c>
      <c r="AE477" s="2" t="s">
        <v>8395</v>
      </c>
      <c r="AF477" s="2" t="s">
        <v>8396</v>
      </c>
      <c r="AG477" s="2" t="s">
        <v>8397</v>
      </c>
      <c r="AH477" s="2" t="s">
        <v>86</v>
      </c>
      <c r="AI477" s="2" t="s">
        <v>8398</v>
      </c>
      <c r="AJ477" s="2" t="s">
        <v>8399</v>
      </c>
      <c r="AK477" s="2" t="s">
        <v>636</v>
      </c>
      <c r="AL477" s="4">
        <v>2018</v>
      </c>
      <c r="AM477" s="4">
        <v>31</v>
      </c>
      <c r="AN477" s="4">
        <v>8</v>
      </c>
      <c r="AO477" s="2" t="s">
        <v>86</v>
      </c>
      <c r="AP477" s="2" t="s">
        <v>86</v>
      </c>
      <c r="AQ477" s="2" t="s">
        <v>86</v>
      </c>
      <c r="AR477" s="2" t="s">
        <v>86</v>
      </c>
      <c r="AS477" s="4">
        <v>1252</v>
      </c>
      <c r="AT477" s="4">
        <v>1258</v>
      </c>
      <c r="AU477" s="2" t="s">
        <v>86</v>
      </c>
      <c r="AV477" s="2" t="s">
        <v>86</v>
      </c>
      <c r="AW477" s="2" t="s">
        <v>86</v>
      </c>
      <c r="AX477" s="4">
        <v>7</v>
      </c>
      <c r="AY477" s="2" t="s">
        <v>4718</v>
      </c>
      <c r="AZ477" s="2" t="s">
        <v>92</v>
      </c>
      <c r="BA477" s="2" t="s">
        <v>4719</v>
      </c>
      <c r="BB477" s="2" t="s">
        <v>8722</v>
      </c>
      <c r="BC477" s="4">
        <v>29514436</v>
      </c>
      <c r="BD477" s="2" t="s">
        <v>8723</v>
      </c>
      <c r="BE477" s="2" t="s">
        <v>86</v>
      </c>
      <c r="BF477" s="2" t="s">
        <v>86</v>
      </c>
      <c r="BG477" s="2" t="s">
        <v>95</v>
      </c>
      <c r="BH477" s="2" t="s">
        <v>8724</v>
      </c>
      <c r="BI477" s="2" t="str">
        <f>HYPERLINK("https%3A%2F%2Fwww.webofscience.com%2Fwos%2Fwoscc%2Ffull-record%2FWOS:000436173000023","View Full Record in Web of Science")</f>
        <v>View Full Record in Web of Science</v>
      </c>
    </row>
    <row r="478" spans="1:61" customFormat="1" ht="12.75" x14ac:dyDescent="0.2">
      <c r="A478" s="1">
        <v>475</v>
      </c>
      <c r="B478" s="1" t="s">
        <v>1068</v>
      </c>
      <c r="C478" s="1" t="s">
        <v>8725</v>
      </c>
      <c r="D478" s="2" t="s">
        <v>8726</v>
      </c>
      <c r="E478" s="2" t="s">
        <v>86</v>
      </c>
      <c r="F478" s="2" t="s">
        <v>86</v>
      </c>
      <c r="G478" s="2" t="s">
        <v>61</v>
      </c>
      <c r="H478" s="2" t="s">
        <v>8727</v>
      </c>
      <c r="I478" s="2" t="s">
        <v>8728</v>
      </c>
      <c r="J478" s="2" t="s">
        <v>8729</v>
      </c>
      <c r="K478" s="2" t="s">
        <v>68</v>
      </c>
      <c r="L478" s="2" t="s">
        <v>8730</v>
      </c>
      <c r="M478" s="2" t="s">
        <v>86</v>
      </c>
      <c r="N478" s="2" t="s">
        <v>8731</v>
      </c>
      <c r="O478" s="2" t="s">
        <v>4331</v>
      </c>
      <c r="P478" s="2" t="s">
        <v>8732</v>
      </c>
      <c r="Q478" s="2" t="s">
        <v>8733</v>
      </c>
      <c r="R478" s="2" t="s">
        <v>8734</v>
      </c>
      <c r="S478" s="2" t="s">
        <v>86</v>
      </c>
      <c r="T478" s="2" t="s">
        <v>86</v>
      </c>
      <c r="U478" s="2" t="s">
        <v>86</v>
      </c>
      <c r="V478" s="2" t="s">
        <v>86</v>
      </c>
      <c r="W478" s="2" t="s">
        <v>80</v>
      </c>
      <c r="X478" s="4">
        <v>26</v>
      </c>
      <c r="Y478" s="4">
        <v>0</v>
      </c>
      <c r="Z478" s="4">
        <v>0</v>
      </c>
      <c r="AA478" s="4">
        <v>0</v>
      </c>
      <c r="AB478" s="4">
        <v>0</v>
      </c>
      <c r="AC478" s="2" t="s">
        <v>6699</v>
      </c>
      <c r="AD478" s="2" t="s">
        <v>6700</v>
      </c>
      <c r="AE478" s="2" t="s">
        <v>6701</v>
      </c>
      <c r="AF478" s="2" t="s">
        <v>8735</v>
      </c>
      <c r="AG478" s="2" t="s">
        <v>86</v>
      </c>
      <c r="AH478" s="2" t="s">
        <v>86</v>
      </c>
      <c r="AI478" s="2" t="s">
        <v>8736</v>
      </c>
      <c r="AJ478" s="2" t="s">
        <v>8737</v>
      </c>
      <c r="AK478" s="2" t="s">
        <v>1458</v>
      </c>
      <c r="AL478" s="4">
        <v>2010</v>
      </c>
      <c r="AM478" s="4">
        <v>6</v>
      </c>
      <c r="AN478" s="4">
        <v>3</v>
      </c>
      <c r="AO478" s="2" t="s">
        <v>86</v>
      </c>
      <c r="AP478" s="2" t="s">
        <v>86</v>
      </c>
      <c r="AQ478" s="2" t="s">
        <v>86</v>
      </c>
      <c r="AR478" s="2" t="s">
        <v>86</v>
      </c>
      <c r="AS478" s="4">
        <v>95</v>
      </c>
      <c r="AT478" s="4">
        <v>102</v>
      </c>
      <c r="AU478" s="2" t="s">
        <v>86</v>
      </c>
      <c r="AV478" s="2" t="s">
        <v>86</v>
      </c>
      <c r="AW478" s="2" t="s">
        <v>86</v>
      </c>
      <c r="AX478" s="4">
        <v>8</v>
      </c>
      <c r="AY478" s="2" t="s">
        <v>8738</v>
      </c>
      <c r="AZ478" s="2" t="s">
        <v>171</v>
      </c>
      <c r="BA478" s="2" t="s">
        <v>8738</v>
      </c>
      <c r="BB478" s="2" t="s">
        <v>8739</v>
      </c>
      <c r="BC478" s="2" t="s">
        <v>86</v>
      </c>
      <c r="BD478" s="2" t="s">
        <v>86</v>
      </c>
      <c r="BE478" s="2" t="s">
        <v>86</v>
      </c>
      <c r="BF478" s="2" t="s">
        <v>86</v>
      </c>
      <c r="BG478" s="2" t="s">
        <v>95</v>
      </c>
      <c r="BH478" s="2" t="s">
        <v>8740</v>
      </c>
      <c r="BI478" s="2" t="str">
        <f>HYPERLINK("https%3A%2F%2Fwww.webofscience.com%2Fwos%2Fwoscc%2Ffull-record%2FWOS:000218523700003","View Full Record in Web of Science")</f>
        <v>View Full Record in Web of Science</v>
      </c>
    </row>
    <row r="479" spans="1:61" customFormat="1" ht="12.75" x14ac:dyDescent="0.2">
      <c r="A479" s="1">
        <v>476</v>
      </c>
      <c r="B479" s="1" t="s">
        <v>1068</v>
      </c>
      <c r="C479" s="1" t="s">
        <v>8741</v>
      </c>
      <c r="D479" s="2" t="s">
        <v>8742</v>
      </c>
      <c r="E479" s="2" t="s">
        <v>8743</v>
      </c>
      <c r="F479" s="3" t="str">
        <f>HYPERLINK("http://dx.doi.org/10.1680/macr.2007.59.2.97","http://dx.doi.org/10.1680/macr.2007.59.2.97")</f>
        <v>http://dx.doi.org/10.1680/macr.2007.59.2.97</v>
      </c>
      <c r="G479" s="2" t="s">
        <v>200</v>
      </c>
      <c r="H479" s="2" t="s">
        <v>8744</v>
      </c>
      <c r="I479" s="2" t="s">
        <v>8745</v>
      </c>
      <c r="J479" s="2" t="s">
        <v>8746</v>
      </c>
      <c r="K479" s="2" t="s">
        <v>68</v>
      </c>
      <c r="L479" s="2" t="s">
        <v>86</v>
      </c>
      <c r="M479" s="2" t="s">
        <v>8747</v>
      </c>
      <c r="N479" s="2" t="s">
        <v>8748</v>
      </c>
      <c r="O479" s="2" t="s">
        <v>687</v>
      </c>
      <c r="P479" s="2" t="s">
        <v>8749</v>
      </c>
      <c r="Q479" s="2" t="s">
        <v>86</v>
      </c>
      <c r="R479" s="2" t="s">
        <v>8750</v>
      </c>
      <c r="S479" s="2" t="s">
        <v>86</v>
      </c>
      <c r="T479" s="2" t="s">
        <v>86</v>
      </c>
      <c r="U479" s="2" t="s">
        <v>86</v>
      </c>
      <c r="V479" s="2" t="s">
        <v>86</v>
      </c>
      <c r="W479" s="2" t="s">
        <v>80</v>
      </c>
      <c r="X479" s="4">
        <v>30</v>
      </c>
      <c r="Y479" s="4">
        <v>40</v>
      </c>
      <c r="Z479" s="4">
        <v>41</v>
      </c>
      <c r="AA479" s="4">
        <v>1</v>
      </c>
      <c r="AB479" s="4">
        <v>16</v>
      </c>
      <c r="AC479" s="2" t="s">
        <v>8751</v>
      </c>
      <c r="AD479" s="2" t="s">
        <v>8752</v>
      </c>
      <c r="AE479" s="2" t="s">
        <v>8753</v>
      </c>
      <c r="AF479" s="2" t="s">
        <v>8754</v>
      </c>
      <c r="AG479" s="2" t="s">
        <v>8755</v>
      </c>
      <c r="AH479" s="2" t="s">
        <v>86</v>
      </c>
      <c r="AI479" s="2" t="s">
        <v>8756</v>
      </c>
      <c r="AJ479" s="2" t="s">
        <v>8757</v>
      </c>
      <c r="AK479" s="2" t="s">
        <v>366</v>
      </c>
      <c r="AL479" s="4">
        <v>2007</v>
      </c>
      <c r="AM479" s="4">
        <v>59</v>
      </c>
      <c r="AN479" s="4">
        <v>2</v>
      </c>
      <c r="AO479" s="2" t="s">
        <v>86</v>
      </c>
      <c r="AP479" s="2" t="s">
        <v>86</v>
      </c>
      <c r="AQ479" s="2" t="s">
        <v>86</v>
      </c>
      <c r="AR479" s="2" t="s">
        <v>86</v>
      </c>
      <c r="AS479" s="4">
        <v>97</v>
      </c>
      <c r="AT479" s="4">
        <v>106</v>
      </c>
      <c r="AU479" s="2" t="s">
        <v>86</v>
      </c>
      <c r="AV479" s="2" t="s">
        <v>86</v>
      </c>
      <c r="AW479" s="2" t="s">
        <v>86</v>
      </c>
      <c r="AX479" s="4">
        <v>10</v>
      </c>
      <c r="AY479" s="2" t="s">
        <v>6368</v>
      </c>
      <c r="AZ479" s="2" t="s">
        <v>92</v>
      </c>
      <c r="BA479" s="2" t="s">
        <v>4245</v>
      </c>
      <c r="BB479" s="2" t="s">
        <v>8758</v>
      </c>
      <c r="BC479" s="2" t="s">
        <v>86</v>
      </c>
      <c r="BD479" s="2" t="s">
        <v>86</v>
      </c>
      <c r="BE479" s="2" t="s">
        <v>86</v>
      </c>
      <c r="BF479" s="2" t="s">
        <v>86</v>
      </c>
      <c r="BG479" s="2" t="s">
        <v>95</v>
      </c>
      <c r="BH479" s="2" t="s">
        <v>8759</v>
      </c>
      <c r="BI479" s="2" t="str">
        <f>HYPERLINK("https%3A%2F%2Fwww.webofscience.com%2Fwos%2Fwoscc%2Ffull-record%2FWOS:000245348800003","View Full Record in Web of Science")</f>
        <v>View Full Record in Web of Science</v>
      </c>
    </row>
    <row r="480" spans="1:61" customFormat="1" ht="12.75" x14ac:dyDescent="0.2">
      <c r="A480" s="1">
        <v>477</v>
      </c>
      <c r="B480" s="1" t="s">
        <v>1068</v>
      </c>
      <c r="C480" s="1" t="s">
        <v>8760</v>
      </c>
      <c r="D480" s="2" t="s">
        <v>8761</v>
      </c>
      <c r="E480" s="2" t="s">
        <v>8762</v>
      </c>
      <c r="F480" s="3" t="str">
        <f>HYPERLINK("http://dx.doi.org/10.4314/sajas.v50i1.2","http://dx.doi.org/10.4314/sajas.v50i1.2")</f>
        <v>http://dx.doi.org/10.4314/sajas.v50i1.2</v>
      </c>
      <c r="G480" s="2" t="s">
        <v>200</v>
      </c>
      <c r="H480" s="2" t="s">
        <v>8763</v>
      </c>
      <c r="I480" s="2" t="s">
        <v>8764</v>
      </c>
      <c r="J480" s="2" t="s">
        <v>8765</v>
      </c>
      <c r="K480" s="2" t="s">
        <v>68</v>
      </c>
      <c r="L480" s="2" t="s">
        <v>8766</v>
      </c>
      <c r="M480" s="2" t="s">
        <v>8767</v>
      </c>
      <c r="N480" s="2" t="s">
        <v>8768</v>
      </c>
      <c r="O480" s="2" t="s">
        <v>8769</v>
      </c>
      <c r="P480" s="2" t="s">
        <v>8770</v>
      </c>
      <c r="Q480" s="2" t="s">
        <v>8771</v>
      </c>
      <c r="R480" s="2" t="s">
        <v>8772</v>
      </c>
      <c r="S480" s="2" t="s">
        <v>8773</v>
      </c>
      <c r="T480" s="2" t="s">
        <v>8774</v>
      </c>
      <c r="U480" s="2" t="s">
        <v>8775</v>
      </c>
      <c r="V480" s="2" t="s">
        <v>8776</v>
      </c>
      <c r="W480" s="2" t="s">
        <v>80</v>
      </c>
      <c r="X480" s="4">
        <v>33</v>
      </c>
      <c r="Y480" s="4">
        <v>3</v>
      </c>
      <c r="Z480" s="4">
        <v>3</v>
      </c>
      <c r="AA480" s="4">
        <v>4</v>
      </c>
      <c r="AB480" s="4">
        <v>17</v>
      </c>
      <c r="AC480" s="2" t="s">
        <v>8777</v>
      </c>
      <c r="AD480" s="2" t="s">
        <v>8778</v>
      </c>
      <c r="AE480" s="2" t="s">
        <v>8779</v>
      </c>
      <c r="AF480" s="2" t="s">
        <v>8780</v>
      </c>
      <c r="AG480" s="2" t="s">
        <v>86</v>
      </c>
      <c r="AH480" s="2" t="s">
        <v>86</v>
      </c>
      <c r="AI480" s="2" t="s">
        <v>8781</v>
      </c>
      <c r="AJ480" s="2" t="s">
        <v>8782</v>
      </c>
      <c r="AK480" s="2" t="s">
        <v>86</v>
      </c>
      <c r="AL480" s="4">
        <v>2020</v>
      </c>
      <c r="AM480" s="4">
        <v>50</v>
      </c>
      <c r="AN480" s="4">
        <v>1</v>
      </c>
      <c r="AO480" s="2" t="s">
        <v>86</v>
      </c>
      <c r="AP480" s="2" t="s">
        <v>86</v>
      </c>
      <c r="AQ480" s="2" t="s">
        <v>86</v>
      </c>
      <c r="AR480" s="2" t="s">
        <v>86</v>
      </c>
      <c r="AS480" s="4">
        <v>9</v>
      </c>
      <c r="AT480" s="4">
        <v>16</v>
      </c>
      <c r="AU480" s="2" t="s">
        <v>86</v>
      </c>
      <c r="AV480" s="2" t="s">
        <v>86</v>
      </c>
      <c r="AW480" s="2" t="s">
        <v>86</v>
      </c>
      <c r="AX480" s="4">
        <v>8</v>
      </c>
      <c r="AY480" s="2" t="s">
        <v>4718</v>
      </c>
      <c r="AZ480" s="2" t="s">
        <v>92</v>
      </c>
      <c r="BA480" s="2" t="s">
        <v>4719</v>
      </c>
      <c r="BB480" s="2" t="s">
        <v>8783</v>
      </c>
      <c r="BC480" s="2" t="s">
        <v>86</v>
      </c>
      <c r="BD480" s="2" t="s">
        <v>321</v>
      </c>
      <c r="BE480" s="2" t="s">
        <v>86</v>
      </c>
      <c r="BF480" s="2" t="s">
        <v>86</v>
      </c>
      <c r="BG480" s="2" t="s">
        <v>95</v>
      </c>
      <c r="BH480" s="2" t="s">
        <v>8784</v>
      </c>
      <c r="BI480" s="2" t="str">
        <f>HYPERLINK("https%3A%2F%2Fwww.webofscience.com%2Fwos%2Fwoscc%2Ffull-record%2FWOS:000528258900002","View Full Record in Web of Science")</f>
        <v>View Full Record in Web of Science</v>
      </c>
    </row>
    <row r="481" spans="1:61" customFormat="1" ht="12.75" x14ac:dyDescent="0.2">
      <c r="A481" s="1">
        <v>478</v>
      </c>
      <c r="B481" s="1" t="s">
        <v>1068</v>
      </c>
      <c r="C481" s="1" t="s">
        <v>8785</v>
      </c>
      <c r="D481" s="2" t="s">
        <v>8786</v>
      </c>
      <c r="E481" s="2" t="s">
        <v>8787</v>
      </c>
      <c r="F481" s="3" t="str">
        <f>HYPERLINK("http://dx.doi.org/10.1016/j.molstruc.2015.06.007","http://dx.doi.org/10.1016/j.molstruc.2015.06.007")</f>
        <v>http://dx.doi.org/10.1016/j.molstruc.2015.06.007</v>
      </c>
      <c r="G481" s="2" t="s">
        <v>200</v>
      </c>
      <c r="H481" s="2" t="s">
        <v>8788</v>
      </c>
      <c r="I481" s="2" t="s">
        <v>8789</v>
      </c>
      <c r="J481" s="2" t="s">
        <v>8790</v>
      </c>
      <c r="K481" s="2" t="s">
        <v>68</v>
      </c>
      <c r="L481" s="2" t="s">
        <v>8791</v>
      </c>
      <c r="M481" s="2" t="s">
        <v>8792</v>
      </c>
      <c r="N481" s="2" t="s">
        <v>8793</v>
      </c>
      <c r="O481" s="2" t="s">
        <v>8794</v>
      </c>
      <c r="P481" s="2" t="s">
        <v>8795</v>
      </c>
      <c r="Q481" s="2" t="s">
        <v>8796</v>
      </c>
      <c r="R481" s="2" t="s">
        <v>8797</v>
      </c>
      <c r="S481" s="2" t="s">
        <v>8798</v>
      </c>
      <c r="T481" s="2" t="s">
        <v>86</v>
      </c>
      <c r="U481" s="2" t="s">
        <v>86</v>
      </c>
      <c r="V481" s="2" t="s">
        <v>86</v>
      </c>
      <c r="W481" s="2" t="s">
        <v>80</v>
      </c>
      <c r="X481" s="4">
        <v>33</v>
      </c>
      <c r="Y481" s="4">
        <v>3</v>
      </c>
      <c r="Z481" s="4">
        <v>3</v>
      </c>
      <c r="AA481" s="4">
        <v>5</v>
      </c>
      <c r="AB481" s="4">
        <v>96</v>
      </c>
      <c r="AC481" s="2" t="s">
        <v>4555</v>
      </c>
      <c r="AD481" s="2" t="s">
        <v>586</v>
      </c>
      <c r="AE481" s="2" t="s">
        <v>4556</v>
      </c>
      <c r="AF481" s="2" t="s">
        <v>8799</v>
      </c>
      <c r="AG481" s="2" t="s">
        <v>8800</v>
      </c>
      <c r="AH481" s="2" t="s">
        <v>86</v>
      </c>
      <c r="AI481" s="2" t="s">
        <v>8801</v>
      </c>
      <c r="AJ481" s="2" t="s">
        <v>8802</v>
      </c>
      <c r="AK481" s="2" t="s">
        <v>493</v>
      </c>
      <c r="AL481" s="4">
        <v>2015</v>
      </c>
      <c r="AM481" s="4">
        <v>1098</v>
      </c>
      <c r="AN481" s="2" t="s">
        <v>86</v>
      </c>
      <c r="AO481" s="2" t="s">
        <v>86</v>
      </c>
      <c r="AP481" s="2" t="s">
        <v>86</v>
      </c>
      <c r="AQ481" s="2" t="s">
        <v>86</v>
      </c>
      <c r="AR481" s="2" t="s">
        <v>86</v>
      </c>
      <c r="AS481" s="4">
        <v>255</v>
      </c>
      <c r="AT481" s="4">
        <v>260</v>
      </c>
      <c r="AU481" s="2" t="s">
        <v>86</v>
      </c>
      <c r="AV481" s="2" t="s">
        <v>86</v>
      </c>
      <c r="AW481" s="2" t="s">
        <v>86</v>
      </c>
      <c r="AX481" s="4">
        <v>6</v>
      </c>
      <c r="AY481" s="2" t="s">
        <v>7414</v>
      </c>
      <c r="AZ481" s="2" t="s">
        <v>92</v>
      </c>
      <c r="BA481" s="2" t="s">
        <v>901</v>
      </c>
      <c r="BB481" s="2" t="s">
        <v>8803</v>
      </c>
      <c r="BC481" s="2" t="s">
        <v>86</v>
      </c>
      <c r="BD481" s="2" t="s">
        <v>86</v>
      </c>
      <c r="BE481" s="2" t="s">
        <v>86</v>
      </c>
      <c r="BF481" s="2" t="s">
        <v>86</v>
      </c>
      <c r="BG481" s="2" t="s">
        <v>95</v>
      </c>
      <c r="BH481" s="2" t="s">
        <v>8804</v>
      </c>
      <c r="BI481" s="2" t="str">
        <f>HYPERLINK("https%3A%2F%2Fwww.webofscience.com%2Fwos%2Fwoscc%2Ffull-record%2FWOS:000360870100032","View Full Record in Web of Science")</f>
        <v>View Full Record in Web of Science</v>
      </c>
    </row>
    <row r="482" spans="1:61" customFormat="1" ht="12.75" x14ac:dyDescent="0.2">
      <c r="A482" s="1">
        <v>479</v>
      </c>
      <c r="B482" s="1" t="s">
        <v>1068</v>
      </c>
      <c r="C482" s="1" t="s">
        <v>8805</v>
      </c>
      <c r="D482" s="2" t="s">
        <v>8806</v>
      </c>
      <c r="E482" s="2" t="s">
        <v>8807</v>
      </c>
      <c r="F482" s="3" t="str">
        <f>HYPERLINK("http://dx.doi.org/10.1007/978-1-0716-0599-8_13","http://dx.doi.org/10.1007/978-1-0716-0599-8_13")</f>
        <v>http://dx.doi.org/10.1007/978-1-0716-0599-8_13</v>
      </c>
      <c r="G482" s="2" t="s">
        <v>176</v>
      </c>
      <c r="H482" s="2" t="s">
        <v>8808</v>
      </c>
      <c r="I482" s="2" t="s">
        <v>8809</v>
      </c>
      <c r="J482" s="2" t="s">
        <v>8810</v>
      </c>
      <c r="K482" s="2" t="s">
        <v>68</v>
      </c>
      <c r="L482" s="2" t="s">
        <v>8811</v>
      </c>
      <c r="M482" s="2" t="s">
        <v>8812</v>
      </c>
      <c r="N482" s="2" t="s">
        <v>8813</v>
      </c>
      <c r="O482" s="2" t="s">
        <v>8814</v>
      </c>
      <c r="P482" s="2" t="s">
        <v>8815</v>
      </c>
      <c r="Q482" s="2" t="s">
        <v>86</v>
      </c>
      <c r="R482" s="2" t="s">
        <v>8816</v>
      </c>
      <c r="S482" s="2" t="s">
        <v>8817</v>
      </c>
      <c r="T482" s="2" t="s">
        <v>8818</v>
      </c>
      <c r="U482" s="2" t="s">
        <v>8819</v>
      </c>
      <c r="V482" s="2" t="s">
        <v>8820</v>
      </c>
      <c r="W482" s="2" t="s">
        <v>8821</v>
      </c>
      <c r="X482" s="4">
        <v>12</v>
      </c>
      <c r="Y482" s="4">
        <v>1</v>
      </c>
      <c r="Z482" s="4">
        <v>1</v>
      </c>
      <c r="AA482" s="4">
        <v>0</v>
      </c>
      <c r="AB482" s="4">
        <v>1</v>
      </c>
      <c r="AC482" s="2" t="s">
        <v>8822</v>
      </c>
      <c r="AD482" s="2" t="s">
        <v>8823</v>
      </c>
      <c r="AE482" s="2" t="s">
        <v>8824</v>
      </c>
      <c r="AF482" s="2" t="s">
        <v>8825</v>
      </c>
      <c r="AG482" s="2" t="s">
        <v>8826</v>
      </c>
      <c r="AH482" s="2" t="s">
        <v>8827</v>
      </c>
      <c r="AI482" s="2" t="s">
        <v>8828</v>
      </c>
      <c r="AJ482" s="2" t="s">
        <v>8829</v>
      </c>
      <c r="AK482" s="2" t="s">
        <v>86</v>
      </c>
      <c r="AL482" s="4">
        <v>2020</v>
      </c>
      <c r="AM482" s="4">
        <v>2145</v>
      </c>
      <c r="AN482" s="2" t="s">
        <v>86</v>
      </c>
      <c r="AO482" s="2" t="s">
        <v>86</v>
      </c>
      <c r="AP482" s="2" t="s">
        <v>86</v>
      </c>
      <c r="AQ482" s="2" t="s">
        <v>86</v>
      </c>
      <c r="AR482" s="2" t="s">
        <v>86</v>
      </c>
      <c r="AS482" s="4">
        <v>185</v>
      </c>
      <c r="AT482" s="4">
        <v>196</v>
      </c>
      <c r="AU482" s="2" t="s">
        <v>86</v>
      </c>
      <c r="AV482" s="2" t="s">
        <v>8830</v>
      </c>
      <c r="AW482" s="2" t="s">
        <v>86</v>
      </c>
      <c r="AX482" s="4">
        <v>12</v>
      </c>
      <c r="AY482" s="2" t="s">
        <v>8831</v>
      </c>
      <c r="AZ482" s="2" t="s">
        <v>194</v>
      </c>
      <c r="BA482" s="2" t="s">
        <v>8832</v>
      </c>
      <c r="BB482" s="2" t="s">
        <v>8833</v>
      </c>
      <c r="BC482" s="4">
        <v>32542608</v>
      </c>
      <c r="BD482" s="2" t="s">
        <v>86</v>
      </c>
      <c r="BE482" s="2" t="s">
        <v>86</v>
      </c>
      <c r="BF482" s="2" t="s">
        <v>86</v>
      </c>
      <c r="BG482" s="2" t="s">
        <v>95</v>
      </c>
      <c r="BH482" s="2" t="s">
        <v>8834</v>
      </c>
      <c r="BI482" s="2" t="str">
        <f>HYPERLINK("https%3A%2F%2Fwww.webofscience.com%2Fwos%2Fwoscc%2Ffull-record%2FWOS:000680930300014","View Full Record in Web of Science")</f>
        <v>View Full Record in Web of Science</v>
      </c>
    </row>
    <row r="483" spans="1:61" customFormat="1" ht="12.75" x14ac:dyDescent="0.2">
      <c r="A483" s="1">
        <v>480</v>
      </c>
      <c r="B483" s="1" t="s">
        <v>1068</v>
      </c>
      <c r="C483" s="1" t="s">
        <v>8835</v>
      </c>
      <c r="D483" s="2" t="s">
        <v>8836</v>
      </c>
      <c r="E483" s="2" t="s">
        <v>8837</v>
      </c>
      <c r="F483" s="3" t="str">
        <f>HYPERLINK("http://dx.doi.org/10.12989/gae.2018.16.2.177","http://dx.doi.org/10.12989/gae.2018.16.2.177")</f>
        <v>http://dx.doi.org/10.12989/gae.2018.16.2.177</v>
      </c>
      <c r="G483" s="2" t="s">
        <v>200</v>
      </c>
      <c r="H483" s="2" t="s">
        <v>8838</v>
      </c>
      <c r="I483" s="2" t="s">
        <v>8839</v>
      </c>
      <c r="J483" s="2" t="s">
        <v>8840</v>
      </c>
      <c r="K483" s="2" t="s">
        <v>68</v>
      </c>
      <c r="L483" s="2" t="s">
        <v>8841</v>
      </c>
      <c r="M483" s="2" t="s">
        <v>8842</v>
      </c>
      <c r="N483" s="2" t="s">
        <v>8843</v>
      </c>
      <c r="O483" s="2" t="s">
        <v>8844</v>
      </c>
      <c r="P483" s="2" t="s">
        <v>8845</v>
      </c>
      <c r="Q483" s="2" t="s">
        <v>8846</v>
      </c>
      <c r="R483" s="2" t="s">
        <v>8847</v>
      </c>
      <c r="S483" s="2" t="s">
        <v>86</v>
      </c>
      <c r="T483" s="2" t="s">
        <v>8848</v>
      </c>
      <c r="U483" s="2" t="s">
        <v>8848</v>
      </c>
      <c r="V483" s="2" t="s">
        <v>8849</v>
      </c>
      <c r="W483" s="2" t="s">
        <v>80</v>
      </c>
      <c r="X483" s="4">
        <v>30</v>
      </c>
      <c r="Y483" s="4">
        <v>12</v>
      </c>
      <c r="Z483" s="4">
        <v>12</v>
      </c>
      <c r="AA483" s="4">
        <v>4</v>
      </c>
      <c r="AB483" s="4">
        <v>38</v>
      </c>
      <c r="AC483" s="2" t="s">
        <v>7728</v>
      </c>
      <c r="AD483" s="2" t="s">
        <v>7729</v>
      </c>
      <c r="AE483" s="2" t="s">
        <v>7730</v>
      </c>
      <c r="AF483" s="2" t="s">
        <v>8850</v>
      </c>
      <c r="AG483" s="2" t="s">
        <v>86</v>
      </c>
      <c r="AH483" s="2" t="s">
        <v>86</v>
      </c>
      <c r="AI483" s="2" t="s">
        <v>8851</v>
      </c>
      <c r="AJ483" s="2" t="s">
        <v>8852</v>
      </c>
      <c r="AK483" s="2" t="s">
        <v>4440</v>
      </c>
      <c r="AL483" s="4">
        <v>2018</v>
      </c>
      <c r="AM483" s="4">
        <v>16</v>
      </c>
      <c r="AN483" s="4">
        <v>2</v>
      </c>
      <c r="AO483" s="2" t="s">
        <v>86</v>
      </c>
      <c r="AP483" s="2" t="s">
        <v>86</v>
      </c>
      <c r="AQ483" s="2" t="s">
        <v>86</v>
      </c>
      <c r="AR483" s="2" t="s">
        <v>86</v>
      </c>
      <c r="AS483" s="4">
        <v>177</v>
      </c>
      <c r="AT483" s="4">
        <v>185</v>
      </c>
      <c r="AU483" s="2" t="s">
        <v>86</v>
      </c>
      <c r="AV483" s="2" t="s">
        <v>86</v>
      </c>
      <c r="AW483" s="2" t="s">
        <v>86</v>
      </c>
      <c r="AX483" s="4">
        <v>9</v>
      </c>
      <c r="AY483" s="2" t="s">
        <v>5237</v>
      </c>
      <c r="AZ483" s="2" t="s">
        <v>92</v>
      </c>
      <c r="BA483" s="2" t="s">
        <v>345</v>
      </c>
      <c r="BB483" s="2" t="s">
        <v>8853</v>
      </c>
      <c r="BC483" s="2" t="s">
        <v>86</v>
      </c>
      <c r="BD483" s="2" t="s">
        <v>86</v>
      </c>
      <c r="BE483" s="2" t="s">
        <v>86</v>
      </c>
      <c r="BF483" s="2" t="s">
        <v>86</v>
      </c>
      <c r="BG483" s="2" t="s">
        <v>95</v>
      </c>
      <c r="BH483" s="2" t="s">
        <v>8854</v>
      </c>
      <c r="BI483" s="2" t="str">
        <f>HYPERLINK("https%3A%2F%2Fwww.webofscience.com%2Fwos%2Fwoscc%2Ffull-record%2FWOS:000446305700007","View Full Record in Web of Science")</f>
        <v>View Full Record in Web of Science</v>
      </c>
    </row>
    <row r="484" spans="1:61" customFormat="1" ht="12.75" x14ac:dyDescent="0.2">
      <c r="A484" s="1">
        <v>481</v>
      </c>
      <c r="B484" s="1" t="s">
        <v>1068</v>
      </c>
      <c r="C484" s="1" t="s">
        <v>8855</v>
      </c>
      <c r="D484" s="2" t="s">
        <v>8856</v>
      </c>
      <c r="E484" s="2" t="s">
        <v>8857</v>
      </c>
      <c r="F484" s="3" t="str">
        <f>HYPERLINK("http://dx.doi.org/10.1016/j.asoc.2023.110452","http://dx.doi.org/10.1016/j.asoc.2023.110452")</f>
        <v>http://dx.doi.org/10.1016/j.asoc.2023.110452</v>
      </c>
      <c r="G484" s="2" t="s">
        <v>200</v>
      </c>
      <c r="H484" s="2" t="s">
        <v>8858</v>
      </c>
      <c r="I484" s="2" t="s">
        <v>8859</v>
      </c>
      <c r="J484" s="2" t="s">
        <v>6572</v>
      </c>
      <c r="K484" s="2" t="s">
        <v>68</v>
      </c>
      <c r="L484" s="2" t="s">
        <v>8860</v>
      </c>
      <c r="M484" s="2" t="s">
        <v>8861</v>
      </c>
      <c r="N484" s="2" t="s">
        <v>8862</v>
      </c>
      <c r="O484" s="2" t="s">
        <v>8863</v>
      </c>
      <c r="P484" s="2" t="s">
        <v>8864</v>
      </c>
      <c r="Q484" s="2" t="s">
        <v>8865</v>
      </c>
      <c r="R484" s="2" t="s">
        <v>8866</v>
      </c>
      <c r="S484" s="2" t="s">
        <v>8867</v>
      </c>
      <c r="T484" s="2" t="s">
        <v>8868</v>
      </c>
      <c r="U484" s="2" t="s">
        <v>5574</v>
      </c>
      <c r="V484" s="2" t="s">
        <v>8869</v>
      </c>
      <c r="W484" s="2" t="s">
        <v>80</v>
      </c>
      <c r="X484" s="4">
        <v>75</v>
      </c>
      <c r="Y484" s="4">
        <v>0</v>
      </c>
      <c r="Z484" s="4">
        <v>0</v>
      </c>
      <c r="AA484" s="4">
        <v>0</v>
      </c>
      <c r="AB484" s="4">
        <v>0</v>
      </c>
      <c r="AC484" s="2" t="s">
        <v>585</v>
      </c>
      <c r="AD484" s="2" t="s">
        <v>586</v>
      </c>
      <c r="AE484" s="2" t="s">
        <v>587</v>
      </c>
      <c r="AF484" s="2" t="s">
        <v>6581</v>
      </c>
      <c r="AG484" s="2" t="s">
        <v>6582</v>
      </c>
      <c r="AH484" s="2" t="s">
        <v>86</v>
      </c>
      <c r="AI484" s="2" t="s">
        <v>6583</v>
      </c>
      <c r="AJ484" s="2" t="s">
        <v>6584</v>
      </c>
      <c r="AK484" s="2" t="s">
        <v>636</v>
      </c>
      <c r="AL484" s="4">
        <v>2023</v>
      </c>
      <c r="AM484" s="4">
        <v>143</v>
      </c>
      <c r="AN484" s="2" t="s">
        <v>86</v>
      </c>
      <c r="AO484" s="2" t="s">
        <v>86</v>
      </c>
      <c r="AP484" s="2" t="s">
        <v>86</v>
      </c>
      <c r="AQ484" s="2" t="s">
        <v>86</v>
      </c>
      <c r="AR484" s="2" t="s">
        <v>86</v>
      </c>
      <c r="AS484" s="2" t="s">
        <v>86</v>
      </c>
      <c r="AT484" s="2" t="s">
        <v>86</v>
      </c>
      <c r="AU484" s="4">
        <v>110452</v>
      </c>
      <c r="AV484" s="2" t="s">
        <v>86</v>
      </c>
      <c r="AW484" s="2" t="s">
        <v>899</v>
      </c>
      <c r="AX484" s="4">
        <v>21</v>
      </c>
      <c r="AY484" s="2" t="s">
        <v>6585</v>
      </c>
      <c r="AZ484" s="2" t="s">
        <v>92</v>
      </c>
      <c r="BA484" s="2" t="s">
        <v>5622</v>
      </c>
      <c r="BB484" s="2" t="s">
        <v>8870</v>
      </c>
      <c r="BC484" s="2" t="s">
        <v>86</v>
      </c>
      <c r="BD484" s="2" t="s">
        <v>86</v>
      </c>
      <c r="BE484" s="2" t="s">
        <v>86</v>
      </c>
      <c r="BF484" s="2" t="s">
        <v>86</v>
      </c>
      <c r="BG484" s="2" t="s">
        <v>95</v>
      </c>
      <c r="BH484" s="2" t="s">
        <v>8871</v>
      </c>
      <c r="BI484" s="2" t="str">
        <f>HYPERLINK("https%3A%2F%2Fwww.webofscience.com%2Fwos%2Fwoscc%2Ffull-record%2FWOS:001021018000001","View Full Record in Web of Science")</f>
        <v>View Full Record in Web of Science</v>
      </c>
    </row>
    <row r="485" spans="1:61" customFormat="1" ht="12.75" x14ac:dyDescent="0.2">
      <c r="A485" s="1">
        <v>482</v>
      </c>
      <c r="B485" s="1" t="s">
        <v>1068</v>
      </c>
      <c r="C485" s="1" t="s">
        <v>8872</v>
      </c>
      <c r="D485" s="2" t="s">
        <v>8873</v>
      </c>
      <c r="E485" s="2" t="s">
        <v>8874</v>
      </c>
      <c r="F485" s="3" t="str">
        <f>HYPERLINK("http://dx.doi.org/10.6620/ZS.2018.57-53","http://dx.doi.org/10.6620/ZS.2018.57-53")</f>
        <v>http://dx.doi.org/10.6620/ZS.2018.57-53</v>
      </c>
      <c r="G485" s="2" t="s">
        <v>200</v>
      </c>
      <c r="H485" s="2" t="s">
        <v>8875</v>
      </c>
      <c r="I485" s="2" t="s">
        <v>8876</v>
      </c>
      <c r="J485" s="2" t="s">
        <v>8877</v>
      </c>
      <c r="K485" s="2" t="s">
        <v>68</v>
      </c>
      <c r="L485" s="2" t="s">
        <v>8878</v>
      </c>
      <c r="M485" s="2" t="s">
        <v>8879</v>
      </c>
      <c r="N485" s="2" t="s">
        <v>8880</v>
      </c>
      <c r="O485" s="2" t="s">
        <v>8881</v>
      </c>
      <c r="P485" s="2" t="s">
        <v>8882</v>
      </c>
      <c r="Q485" s="2" t="s">
        <v>8883</v>
      </c>
      <c r="R485" s="2" t="s">
        <v>8884</v>
      </c>
      <c r="S485" s="2" t="s">
        <v>8885</v>
      </c>
      <c r="T485" s="2" t="s">
        <v>86</v>
      </c>
      <c r="U485" s="2" t="s">
        <v>86</v>
      </c>
      <c r="V485" s="2" t="s">
        <v>86</v>
      </c>
      <c r="W485" s="2" t="s">
        <v>80</v>
      </c>
      <c r="X485" s="4">
        <v>50</v>
      </c>
      <c r="Y485" s="4">
        <v>18</v>
      </c>
      <c r="Z485" s="4">
        <v>21</v>
      </c>
      <c r="AA485" s="4">
        <v>1</v>
      </c>
      <c r="AB485" s="4">
        <v>28</v>
      </c>
      <c r="AC485" s="2" t="s">
        <v>8886</v>
      </c>
      <c r="AD485" s="2" t="s">
        <v>8887</v>
      </c>
      <c r="AE485" s="2" t="s">
        <v>8888</v>
      </c>
      <c r="AF485" s="2" t="s">
        <v>8889</v>
      </c>
      <c r="AG485" s="2" t="s">
        <v>8890</v>
      </c>
      <c r="AH485" s="2" t="s">
        <v>86</v>
      </c>
      <c r="AI485" s="2" t="s">
        <v>8891</v>
      </c>
      <c r="AJ485" s="2" t="s">
        <v>8892</v>
      </c>
      <c r="AK485" s="2" t="s">
        <v>8893</v>
      </c>
      <c r="AL485" s="4">
        <v>2018</v>
      </c>
      <c r="AM485" s="4">
        <v>57</v>
      </c>
      <c r="AN485" s="2" t="s">
        <v>86</v>
      </c>
      <c r="AO485" s="2" t="s">
        <v>86</v>
      </c>
      <c r="AP485" s="2" t="s">
        <v>86</v>
      </c>
      <c r="AQ485" s="2" t="s">
        <v>86</v>
      </c>
      <c r="AR485" s="2" t="s">
        <v>86</v>
      </c>
      <c r="AS485" s="2" t="s">
        <v>86</v>
      </c>
      <c r="AT485" s="2" t="s">
        <v>86</v>
      </c>
      <c r="AU485" s="4">
        <v>53</v>
      </c>
      <c r="AV485" s="2" t="s">
        <v>86</v>
      </c>
      <c r="AW485" s="2" t="s">
        <v>86</v>
      </c>
      <c r="AX485" s="4">
        <v>15</v>
      </c>
      <c r="AY485" s="2" t="s">
        <v>2113</v>
      </c>
      <c r="AZ485" s="2" t="s">
        <v>92</v>
      </c>
      <c r="BA485" s="2" t="s">
        <v>2113</v>
      </c>
      <c r="BB485" s="2" t="s">
        <v>8894</v>
      </c>
      <c r="BC485" s="4">
        <v>31966293</v>
      </c>
      <c r="BD485" s="2" t="s">
        <v>86</v>
      </c>
      <c r="BE485" s="2" t="s">
        <v>86</v>
      </c>
      <c r="BF485" s="2" t="s">
        <v>86</v>
      </c>
      <c r="BG485" s="2" t="s">
        <v>95</v>
      </c>
      <c r="BH485" s="2" t="s">
        <v>8895</v>
      </c>
      <c r="BI485" s="2" t="str">
        <f>HYPERLINK("https%3A%2F%2Fwww.webofscience.com%2Fwos%2Fwoscc%2Ffull-record%2FWOS:000450632300001","View Full Record in Web of Science")</f>
        <v>View Full Record in Web of Science</v>
      </c>
    </row>
    <row r="486" spans="1:61" customFormat="1" ht="12.75" x14ac:dyDescent="0.2">
      <c r="A486" s="1">
        <v>483</v>
      </c>
      <c r="B486" s="1" t="s">
        <v>1068</v>
      </c>
      <c r="C486" s="1" t="s">
        <v>8896</v>
      </c>
      <c r="D486" s="2" t="s">
        <v>8897</v>
      </c>
      <c r="E486" s="2" t="s">
        <v>8898</v>
      </c>
      <c r="F486" s="3" t="str">
        <f>HYPERLINK("http://dx.doi.org/10.15666/aeer/2006_52375249","http://dx.doi.org/10.15666/aeer/2006_52375249")</f>
        <v>http://dx.doi.org/10.15666/aeer/2006_52375249</v>
      </c>
      <c r="G486" s="2" t="s">
        <v>200</v>
      </c>
      <c r="H486" s="2" t="s">
        <v>8899</v>
      </c>
      <c r="I486" s="2" t="s">
        <v>8900</v>
      </c>
      <c r="J486" s="2" t="s">
        <v>2756</v>
      </c>
      <c r="K486" s="2" t="s">
        <v>68</v>
      </c>
      <c r="L486" s="2" t="s">
        <v>8901</v>
      </c>
      <c r="M486" s="2" t="s">
        <v>8902</v>
      </c>
      <c r="N486" s="2" t="s">
        <v>8903</v>
      </c>
      <c r="O486" s="2" t="s">
        <v>5453</v>
      </c>
      <c r="P486" s="2" t="s">
        <v>8904</v>
      </c>
      <c r="Q486" s="2" t="s">
        <v>8905</v>
      </c>
      <c r="R486" s="2" t="s">
        <v>8906</v>
      </c>
      <c r="S486" s="2" t="s">
        <v>8907</v>
      </c>
      <c r="T486" s="2" t="s">
        <v>8908</v>
      </c>
      <c r="U486" s="2" t="s">
        <v>8909</v>
      </c>
      <c r="V486" s="2" t="s">
        <v>8910</v>
      </c>
      <c r="W486" s="2" t="s">
        <v>80</v>
      </c>
      <c r="X486" s="4">
        <v>59</v>
      </c>
      <c r="Y486" s="4">
        <v>0</v>
      </c>
      <c r="Z486" s="4">
        <v>0</v>
      </c>
      <c r="AA486" s="4">
        <v>0</v>
      </c>
      <c r="AB486" s="4">
        <v>6</v>
      </c>
      <c r="AC486" s="2" t="s">
        <v>8911</v>
      </c>
      <c r="AD486" s="2" t="s">
        <v>8912</v>
      </c>
      <c r="AE486" s="2" t="s">
        <v>8913</v>
      </c>
      <c r="AF486" s="2" t="s">
        <v>2770</v>
      </c>
      <c r="AG486" s="2" t="s">
        <v>2771</v>
      </c>
      <c r="AH486" s="2" t="s">
        <v>86</v>
      </c>
      <c r="AI486" s="2" t="s">
        <v>2772</v>
      </c>
      <c r="AJ486" s="2" t="s">
        <v>2773</v>
      </c>
      <c r="AK486" s="2" t="s">
        <v>86</v>
      </c>
      <c r="AL486" s="4">
        <v>2022</v>
      </c>
      <c r="AM486" s="4">
        <v>20</v>
      </c>
      <c r="AN486" s="4">
        <v>6</v>
      </c>
      <c r="AO486" s="2" t="s">
        <v>86</v>
      </c>
      <c r="AP486" s="2" t="s">
        <v>86</v>
      </c>
      <c r="AQ486" s="2" t="s">
        <v>86</v>
      </c>
      <c r="AR486" s="2" t="s">
        <v>86</v>
      </c>
      <c r="AS486" s="4">
        <v>5237</v>
      </c>
      <c r="AT486" s="4">
        <v>5249</v>
      </c>
      <c r="AU486" s="2" t="s">
        <v>86</v>
      </c>
      <c r="AV486" s="2" t="s">
        <v>86</v>
      </c>
      <c r="AW486" s="2" t="s">
        <v>294</v>
      </c>
      <c r="AX486" s="4">
        <v>13</v>
      </c>
      <c r="AY486" s="2" t="s">
        <v>193</v>
      </c>
      <c r="AZ486" s="2" t="s">
        <v>92</v>
      </c>
      <c r="BA486" s="2" t="s">
        <v>93</v>
      </c>
      <c r="BB486" s="2" t="s">
        <v>8914</v>
      </c>
      <c r="BC486" s="2" t="s">
        <v>86</v>
      </c>
      <c r="BD486" s="2" t="s">
        <v>321</v>
      </c>
      <c r="BE486" s="2" t="s">
        <v>86</v>
      </c>
      <c r="BF486" s="2" t="s">
        <v>86</v>
      </c>
      <c r="BG486" s="2" t="s">
        <v>95</v>
      </c>
      <c r="BH486" s="2" t="s">
        <v>8915</v>
      </c>
      <c r="BI486" s="2" t="str">
        <f>HYPERLINK("https%3A%2F%2Fwww.webofscience.com%2Fwos%2Fwoscc%2Ffull-record%2FWOS:000891236400001","View Full Record in Web of Science")</f>
        <v>View Full Record in Web of Science</v>
      </c>
    </row>
    <row r="487" spans="1:61" customFormat="1" ht="12.75" x14ac:dyDescent="0.2">
      <c r="A487" s="1">
        <v>484</v>
      </c>
      <c r="B487" s="1" t="s">
        <v>1068</v>
      </c>
      <c r="C487" s="1" t="s">
        <v>8916</v>
      </c>
      <c r="D487" s="2" t="s">
        <v>8917</v>
      </c>
      <c r="E487" s="2" t="s">
        <v>8918</v>
      </c>
      <c r="F487" s="3" t="str">
        <f>HYPERLINK("http://dx.doi.org/10.1016/j.bjps.2008.03.016","http://dx.doi.org/10.1016/j.bjps.2008.03.016")</f>
        <v>http://dx.doi.org/10.1016/j.bjps.2008.03.016</v>
      </c>
      <c r="G487" s="2" t="s">
        <v>200</v>
      </c>
      <c r="H487" s="2" t="s">
        <v>8919</v>
      </c>
      <c r="I487" s="2" t="s">
        <v>8920</v>
      </c>
      <c r="J487" s="2" t="s">
        <v>7742</v>
      </c>
      <c r="K487" s="2" t="s">
        <v>68</v>
      </c>
      <c r="L487" s="2" t="s">
        <v>8921</v>
      </c>
      <c r="M487" s="2" t="s">
        <v>8922</v>
      </c>
      <c r="N487" s="2" t="s">
        <v>8923</v>
      </c>
      <c r="O487" s="2" t="s">
        <v>8924</v>
      </c>
      <c r="P487" s="2" t="s">
        <v>8925</v>
      </c>
      <c r="Q487" s="2" t="s">
        <v>8926</v>
      </c>
      <c r="R487" s="2" t="s">
        <v>8927</v>
      </c>
      <c r="S487" s="2" t="s">
        <v>8928</v>
      </c>
      <c r="T487" s="2" t="s">
        <v>86</v>
      </c>
      <c r="U487" s="2" t="s">
        <v>86</v>
      </c>
      <c r="V487" s="2" t="s">
        <v>86</v>
      </c>
      <c r="W487" s="2" t="s">
        <v>80</v>
      </c>
      <c r="X487" s="4">
        <v>30</v>
      </c>
      <c r="Y487" s="4">
        <v>118</v>
      </c>
      <c r="Z487" s="4">
        <v>129</v>
      </c>
      <c r="AA487" s="4">
        <v>0</v>
      </c>
      <c r="AB487" s="4">
        <v>14</v>
      </c>
      <c r="AC487" s="2" t="s">
        <v>114</v>
      </c>
      <c r="AD487" s="2" t="s">
        <v>115</v>
      </c>
      <c r="AE487" s="2" t="s">
        <v>116</v>
      </c>
      <c r="AF487" s="2" t="s">
        <v>7751</v>
      </c>
      <c r="AG487" s="2" t="s">
        <v>86</v>
      </c>
      <c r="AH487" s="2" t="s">
        <v>86</v>
      </c>
      <c r="AI487" s="2" t="s">
        <v>7753</v>
      </c>
      <c r="AJ487" s="2" t="s">
        <v>7754</v>
      </c>
      <c r="AK487" s="2" t="s">
        <v>440</v>
      </c>
      <c r="AL487" s="4">
        <v>2009</v>
      </c>
      <c r="AM487" s="4">
        <v>62</v>
      </c>
      <c r="AN487" s="4">
        <v>9</v>
      </c>
      <c r="AO487" s="2" t="s">
        <v>86</v>
      </c>
      <c r="AP487" s="2" t="s">
        <v>86</v>
      </c>
      <c r="AQ487" s="2" t="s">
        <v>86</v>
      </c>
      <c r="AR487" s="2" t="s">
        <v>86</v>
      </c>
      <c r="AS487" s="4">
        <v>1210</v>
      </c>
      <c r="AT487" s="4">
        <v>1214</v>
      </c>
      <c r="AU487" s="2" t="s">
        <v>86</v>
      </c>
      <c r="AV487" s="2" t="s">
        <v>86</v>
      </c>
      <c r="AW487" s="2" t="s">
        <v>86</v>
      </c>
      <c r="AX487" s="4">
        <v>5</v>
      </c>
      <c r="AY487" s="2" t="s">
        <v>5289</v>
      </c>
      <c r="AZ487" s="2" t="s">
        <v>92</v>
      </c>
      <c r="BA487" s="2" t="s">
        <v>5289</v>
      </c>
      <c r="BB487" s="2" t="s">
        <v>8929</v>
      </c>
      <c r="BC487" s="4">
        <v>18572007</v>
      </c>
      <c r="BD487" s="2" t="s">
        <v>86</v>
      </c>
      <c r="BE487" s="2" t="s">
        <v>86</v>
      </c>
      <c r="BF487" s="2" t="s">
        <v>86</v>
      </c>
      <c r="BG487" s="2" t="s">
        <v>95</v>
      </c>
      <c r="BH487" s="2" t="s">
        <v>8930</v>
      </c>
      <c r="BI487" s="2" t="str">
        <f>HYPERLINK("https%3A%2F%2Fwww.webofscience.com%2Fwos%2Fwoscc%2Ffull-record%2FWOS:000270162600017","View Full Record in Web of Science")</f>
        <v>View Full Record in Web of Science</v>
      </c>
    </row>
    <row r="488" spans="1:61" customFormat="1" ht="12.75" x14ac:dyDescent="0.2">
      <c r="A488" s="1">
        <v>485</v>
      </c>
      <c r="B488" s="1" t="s">
        <v>1068</v>
      </c>
      <c r="C488" s="1" t="s">
        <v>8931</v>
      </c>
      <c r="D488" s="2" t="s">
        <v>8932</v>
      </c>
      <c r="E488" s="2" t="s">
        <v>8933</v>
      </c>
      <c r="F488" s="3" t="str">
        <f>HYPERLINK("http://dx.doi.org/10.5897/AJAR11.1249","http://dx.doi.org/10.5897/AJAR11.1249")</f>
        <v>http://dx.doi.org/10.5897/AJAR11.1249</v>
      </c>
      <c r="G488" s="2" t="s">
        <v>200</v>
      </c>
      <c r="H488" s="2" t="s">
        <v>8934</v>
      </c>
      <c r="I488" s="2" t="s">
        <v>8935</v>
      </c>
      <c r="J488" s="2" t="s">
        <v>8936</v>
      </c>
      <c r="K488" s="2" t="s">
        <v>68</v>
      </c>
      <c r="L488" s="2" t="s">
        <v>8937</v>
      </c>
      <c r="M488" s="2" t="s">
        <v>8938</v>
      </c>
      <c r="N488" s="2" t="s">
        <v>8939</v>
      </c>
      <c r="O488" s="2" t="s">
        <v>8940</v>
      </c>
      <c r="P488" s="2" t="s">
        <v>8941</v>
      </c>
      <c r="Q488" s="2" t="s">
        <v>8942</v>
      </c>
      <c r="R488" s="2" t="s">
        <v>8943</v>
      </c>
      <c r="S488" s="2" t="s">
        <v>8944</v>
      </c>
      <c r="T488" s="2" t="s">
        <v>86</v>
      </c>
      <c r="U488" s="2" t="s">
        <v>86</v>
      </c>
      <c r="V488" s="2" t="s">
        <v>86</v>
      </c>
      <c r="W488" s="2" t="s">
        <v>80</v>
      </c>
      <c r="X488" s="4">
        <v>38</v>
      </c>
      <c r="Y488" s="4">
        <v>3</v>
      </c>
      <c r="Z488" s="4">
        <v>3</v>
      </c>
      <c r="AA488" s="4">
        <v>0</v>
      </c>
      <c r="AB488" s="4">
        <v>22</v>
      </c>
      <c r="AC488" s="2" t="s">
        <v>3771</v>
      </c>
      <c r="AD488" s="2" t="s">
        <v>3772</v>
      </c>
      <c r="AE488" s="2" t="s">
        <v>3773</v>
      </c>
      <c r="AF488" s="2" t="s">
        <v>8945</v>
      </c>
      <c r="AG488" s="2" t="s">
        <v>86</v>
      </c>
      <c r="AH488" s="2" t="s">
        <v>86</v>
      </c>
      <c r="AI488" s="2" t="s">
        <v>8946</v>
      </c>
      <c r="AJ488" s="2" t="s">
        <v>8947</v>
      </c>
      <c r="AK488" s="2" t="s">
        <v>8948</v>
      </c>
      <c r="AL488" s="4">
        <v>2011</v>
      </c>
      <c r="AM488" s="4">
        <v>6</v>
      </c>
      <c r="AN488" s="4">
        <v>24</v>
      </c>
      <c r="AO488" s="2" t="s">
        <v>86</v>
      </c>
      <c r="AP488" s="2" t="s">
        <v>86</v>
      </c>
      <c r="AQ488" s="2" t="s">
        <v>86</v>
      </c>
      <c r="AR488" s="2" t="s">
        <v>86</v>
      </c>
      <c r="AS488" s="4">
        <v>5469</v>
      </c>
      <c r="AT488" s="4">
        <v>5474</v>
      </c>
      <c r="AU488" s="2" t="s">
        <v>86</v>
      </c>
      <c r="AV488" s="2" t="s">
        <v>86</v>
      </c>
      <c r="AW488" s="2" t="s">
        <v>86</v>
      </c>
      <c r="AX488" s="4">
        <v>6</v>
      </c>
      <c r="AY488" s="2" t="s">
        <v>8949</v>
      </c>
      <c r="AZ488" s="2" t="s">
        <v>92</v>
      </c>
      <c r="BA488" s="2" t="s">
        <v>4719</v>
      </c>
      <c r="BB488" s="2" t="s">
        <v>8950</v>
      </c>
      <c r="BC488" s="2" t="s">
        <v>86</v>
      </c>
      <c r="BD488" s="2" t="s">
        <v>86</v>
      </c>
      <c r="BE488" s="2" t="s">
        <v>86</v>
      </c>
      <c r="BF488" s="2" t="s">
        <v>86</v>
      </c>
      <c r="BG488" s="2" t="s">
        <v>95</v>
      </c>
      <c r="BH488" s="2" t="s">
        <v>8951</v>
      </c>
      <c r="BI488" s="2" t="str">
        <f>HYPERLINK("https%3A%2F%2Fwww.webofscience.com%2Fwos%2Fwoscc%2Ffull-record%2FWOS:000298784800013","View Full Record in Web of Science")</f>
        <v>View Full Record in Web of Science</v>
      </c>
    </row>
    <row r="489" spans="1:61" customFormat="1" ht="12.75" x14ac:dyDescent="0.2">
      <c r="A489" s="1">
        <v>486</v>
      </c>
      <c r="B489" s="1" t="s">
        <v>1068</v>
      </c>
      <c r="C489" s="1" t="s">
        <v>8952</v>
      </c>
      <c r="D489" s="2" t="s">
        <v>8953</v>
      </c>
      <c r="E489" s="2" t="s">
        <v>8954</v>
      </c>
      <c r="F489" s="3" t="str">
        <f>HYPERLINK("http://dx.doi.org/10.5713/ab.21.0113","http://dx.doi.org/10.5713/ab.21.0113")</f>
        <v>http://dx.doi.org/10.5713/ab.21.0113</v>
      </c>
      <c r="G489" s="2" t="s">
        <v>200</v>
      </c>
      <c r="H489" s="2" t="s">
        <v>8955</v>
      </c>
      <c r="I489" s="2" t="s">
        <v>8956</v>
      </c>
      <c r="J489" s="2" t="s">
        <v>8957</v>
      </c>
      <c r="K489" s="2" t="s">
        <v>68</v>
      </c>
      <c r="L489" s="2" t="s">
        <v>8958</v>
      </c>
      <c r="M489" s="2" t="s">
        <v>8959</v>
      </c>
      <c r="N489" s="2" t="s">
        <v>8960</v>
      </c>
      <c r="O489" s="2" t="s">
        <v>8961</v>
      </c>
      <c r="P489" s="2" t="s">
        <v>8962</v>
      </c>
      <c r="Q489" s="2" t="s">
        <v>8963</v>
      </c>
      <c r="R489" s="2" t="s">
        <v>8964</v>
      </c>
      <c r="S489" s="2" t="s">
        <v>8965</v>
      </c>
      <c r="T489" s="2" t="s">
        <v>86</v>
      </c>
      <c r="U489" s="2" t="s">
        <v>86</v>
      </c>
      <c r="V489" s="2" t="s">
        <v>86</v>
      </c>
      <c r="W489" s="2" t="s">
        <v>80</v>
      </c>
      <c r="X489" s="4">
        <v>38</v>
      </c>
      <c r="Y489" s="4">
        <v>6</v>
      </c>
      <c r="Z489" s="4">
        <v>6</v>
      </c>
      <c r="AA489" s="4">
        <v>1</v>
      </c>
      <c r="AB489" s="4">
        <v>13</v>
      </c>
      <c r="AC489" s="2" t="s">
        <v>8394</v>
      </c>
      <c r="AD489" s="2" t="s">
        <v>4297</v>
      </c>
      <c r="AE489" s="2" t="s">
        <v>8395</v>
      </c>
      <c r="AF489" s="2" t="s">
        <v>8966</v>
      </c>
      <c r="AG489" s="2" t="s">
        <v>8967</v>
      </c>
      <c r="AH489" s="2" t="s">
        <v>86</v>
      </c>
      <c r="AI489" s="2" t="s">
        <v>8968</v>
      </c>
      <c r="AJ489" s="2" t="s">
        <v>8969</v>
      </c>
      <c r="AK489" s="2" t="s">
        <v>534</v>
      </c>
      <c r="AL489" s="4">
        <v>2022</v>
      </c>
      <c r="AM489" s="4">
        <v>35</v>
      </c>
      <c r="AN489" s="4">
        <v>1</v>
      </c>
      <c r="AO489" s="2" t="s">
        <v>86</v>
      </c>
      <c r="AP489" s="2" t="s">
        <v>86</v>
      </c>
      <c r="AQ489" s="2" t="s">
        <v>86</v>
      </c>
      <c r="AR489" s="2" t="s">
        <v>86</v>
      </c>
      <c r="AS489" s="4">
        <v>39</v>
      </c>
      <c r="AT489" s="4">
        <v>46</v>
      </c>
      <c r="AU489" s="2" t="s">
        <v>86</v>
      </c>
      <c r="AV489" s="2" t="s">
        <v>86</v>
      </c>
      <c r="AW489" s="2" t="s">
        <v>86</v>
      </c>
      <c r="AX489" s="4">
        <v>8</v>
      </c>
      <c r="AY489" s="2" t="s">
        <v>4718</v>
      </c>
      <c r="AZ489" s="2" t="s">
        <v>92</v>
      </c>
      <c r="BA489" s="2" t="s">
        <v>4719</v>
      </c>
      <c r="BB489" s="2" t="s">
        <v>8970</v>
      </c>
      <c r="BC489" s="4">
        <v>34237921</v>
      </c>
      <c r="BD489" s="2" t="s">
        <v>220</v>
      </c>
      <c r="BE489" s="2" t="s">
        <v>86</v>
      </c>
      <c r="BF489" s="2" t="s">
        <v>86</v>
      </c>
      <c r="BG489" s="2" t="s">
        <v>95</v>
      </c>
      <c r="BH489" s="2" t="s">
        <v>8971</v>
      </c>
      <c r="BI489" s="2" t="str">
        <f>HYPERLINK("https%3A%2F%2Fwww.webofscience.com%2Fwos%2Fwoscc%2Ffull-record%2FWOS:000737054900005","View Full Record in Web of Science")</f>
        <v>View Full Record in Web of Science</v>
      </c>
    </row>
    <row r="490" spans="1:61" customFormat="1" ht="12.75" x14ac:dyDescent="0.2">
      <c r="A490" s="1">
        <v>487</v>
      </c>
      <c r="B490" s="1" t="s">
        <v>1068</v>
      </c>
      <c r="C490" s="1" t="s">
        <v>8972</v>
      </c>
      <c r="D490" s="2" t="s">
        <v>8973</v>
      </c>
      <c r="E490" s="2" t="s">
        <v>8974</v>
      </c>
      <c r="F490" s="3" t="str">
        <f>HYPERLINK("http://dx.doi.org/10.1016/j.chemosphere.2022.136048","http://dx.doi.org/10.1016/j.chemosphere.2022.136048")</f>
        <v>http://dx.doi.org/10.1016/j.chemosphere.2022.136048</v>
      </c>
      <c r="G490" s="2" t="s">
        <v>200</v>
      </c>
      <c r="H490" s="2" t="s">
        <v>8975</v>
      </c>
      <c r="I490" s="2" t="s">
        <v>8976</v>
      </c>
      <c r="J490" s="2" t="s">
        <v>227</v>
      </c>
      <c r="K490" s="2" t="s">
        <v>68</v>
      </c>
      <c r="L490" s="2" t="s">
        <v>8977</v>
      </c>
      <c r="M490" s="2" t="s">
        <v>8978</v>
      </c>
      <c r="N490" s="2" t="s">
        <v>8979</v>
      </c>
      <c r="O490" s="2" t="s">
        <v>8980</v>
      </c>
      <c r="P490" s="2" t="s">
        <v>5864</v>
      </c>
      <c r="Q490" s="2" t="s">
        <v>8981</v>
      </c>
      <c r="R490" s="2" t="s">
        <v>8982</v>
      </c>
      <c r="S490" s="2" t="s">
        <v>8983</v>
      </c>
      <c r="T490" s="2" t="s">
        <v>8984</v>
      </c>
      <c r="U490" s="2" t="s">
        <v>8985</v>
      </c>
      <c r="V490" s="2" t="s">
        <v>8986</v>
      </c>
      <c r="W490" s="2" t="s">
        <v>80</v>
      </c>
      <c r="X490" s="4">
        <v>97</v>
      </c>
      <c r="Y490" s="4">
        <v>3</v>
      </c>
      <c r="Z490" s="4">
        <v>3</v>
      </c>
      <c r="AA490" s="4">
        <v>19</v>
      </c>
      <c r="AB490" s="4">
        <v>41</v>
      </c>
      <c r="AC490" s="2" t="s">
        <v>237</v>
      </c>
      <c r="AD490" s="2" t="s">
        <v>115</v>
      </c>
      <c r="AE490" s="2" t="s">
        <v>238</v>
      </c>
      <c r="AF490" s="2" t="s">
        <v>239</v>
      </c>
      <c r="AG490" s="2" t="s">
        <v>240</v>
      </c>
      <c r="AH490" s="2" t="s">
        <v>86</v>
      </c>
      <c r="AI490" s="2" t="s">
        <v>227</v>
      </c>
      <c r="AJ490" s="2" t="s">
        <v>241</v>
      </c>
      <c r="AK490" s="2" t="s">
        <v>121</v>
      </c>
      <c r="AL490" s="4">
        <v>2022</v>
      </c>
      <c r="AM490" s="4">
        <v>307</v>
      </c>
      <c r="AN490" s="2" t="s">
        <v>86</v>
      </c>
      <c r="AO490" s="4">
        <v>4</v>
      </c>
      <c r="AP490" s="2" t="s">
        <v>86</v>
      </c>
      <c r="AQ490" s="2" t="s">
        <v>86</v>
      </c>
      <c r="AR490" s="2" t="s">
        <v>86</v>
      </c>
      <c r="AS490" s="2" t="s">
        <v>86</v>
      </c>
      <c r="AT490" s="2" t="s">
        <v>86</v>
      </c>
      <c r="AU490" s="4">
        <v>136048</v>
      </c>
      <c r="AV490" s="2" t="s">
        <v>86</v>
      </c>
      <c r="AW490" s="2" t="s">
        <v>294</v>
      </c>
      <c r="AX490" s="4">
        <v>16</v>
      </c>
      <c r="AY490" s="2" t="s">
        <v>91</v>
      </c>
      <c r="AZ490" s="2" t="s">
        <v>92</v>
      </c>
      <c r="BA490" s="2" t="s">
        <v>93</v>
      </c>
      <c r="BB490" s="2" t="s">
        <v>8987</v>
      </c>
      <c r="BC490" s="4">
        <v>35987272</v>
      </c>
      <c r="BD490" s="2" t="s">
        <v>86</v>
      </c>
      <c r="BE490" s="2" t="s">
        <v>86</v>
      </c>
      <c r="BF490" s="2" t="s">
        <v>86</v>
      </c>
      <c r="BG490" s="2" t="s">
        <v>95</v>
      </c>
      <c r="BH490" s="2" t="s">
        <v>8988</v>
      </c>
      <c r="BI490" s="2" t="str">
        <f>HYPERLINK("https%3A%2F%2Fwww.webofscience.com%2Fwos%2Fwoscc%2Ffull-record%2FWOS:000863689800001","View Full Record in Web of Science")</f>
        <v>View Full Record in Web of Science</v>
      </c>
    </row>
    <row r="491" spans="1:61" customFormat="1" ht="12.75" x14ac:dyDescent="0.2">
      <c r="A491" s="1">
        <v>488</v>
      </c>
      <c r="B491" s="1" t="s">
        <v>1068</v>
      </c>
      <c r="C491" s="1" t="s">
        <v>8989</v>
      </c>
      <c r="D491" s="2" t="s">
        <v>8990</v>
      </c>
      <c r="E491" s="2" t="s">
        <v>8991</v>
      </c>
      <c r="F491" s="3" t="str">
        <f>HYPERLINK("http://dx.doi.org/10.1016/j.rmed.2018.03.012","http://dx.doi.org/10.1016/j.rmed.2018.03.012")</f>
        <v>http://dx.doi.org/10.1016/j.rmed.2018.03.012</v>
      </c>
      <c r="G491" s="2" t="s">
        <v>200</v>
      </c>
      <c r="H491" s="2" t="s">
        <v>8992</v>
      </c>
      <c r="I491" s="2" t="s">
        <v>8993</v>
      </c>
      <c r="J491" s="2" t="s">
        <v>8994</v>
      </c>
      <c r="K491" s="2" t="s">
        <v>68</v>
      </c>
      <c r="L491" s="2" t="s">
        <v>8995</v>
      </c>
      <c r="M491" s="2" t="s">
        <v>8996</v>
      </c>
      <c r="N491" s="2" t="s">
        <v>8997</v>
      </c>
      <c r="O491" s="2" t="s">
        <v>1391</v>
      </c>
      <c r="P491" s="2" t="s">
        <v>8998</v>
      </c>
      <c r="Q491" s="2" t="s">
        <v>8999</v>
      </c>
      <c r="R491" s="2" t="s">
        <v>9000</v>
      </c>
      <c r="S491" s="2" t="s">
        <v>9001</v>
      </c>
      <c r="T491" s="2" t="s">
        <v>86</v>
      </c>
      <c r="U491" s="2" t="s">
        <v>86</v>
      </c>
      <c r="V491" s="2" t="s">
        <v>86</v>
      </c>
      <c r="W491" s="2" t="s">
        <v>80</v>
      </c>
      <c r="X491" s="4">
        <v>27</v>
      </c>
      <c r="Y491" s="4">
        <v>5</v>
      </c>
      <c r="Z491" s="4">
        <v>5</v>
      </c>
      <c r="AA491" s="4">
        <v>0</v>
      </c>
      <c r="AB491" s="4">
        <v>7</v>
      </c>
      <c r="AC491" s="2" t="s">
        <v>9002</v>
      </c>
      <c r="AD491" s="2" t="s">
        <v>605</v>
      </c>
      <c r="AE491" s="2" t="s">
        <v>9003</v>
      </c>
      <c r="AF491" s="2" t="s">
        <v>9004</v>
      </c>
      <c r="AG491" s="2" t="s">
        <v>9005</v>
      </c>
      <c r="AH491" s="2" t="s">
        <v>86</v>
      </c>
      <c r="AI491" s="2" t="s">
        <v>9006</v>
      </c>
      <c r="AJ491" s="2" t="s">
        <v>9007</v>
      </c>
      <c r="AK491" s="2" t="s">
        <v>89</v>
      </c>
      <c r="AL491" s="4">
        <v>2018</v>
      </c>
      <c r="AM491" s="4">
        <v>137</v>
      </c>
      <c r="AN491" s="2" t="s">
        <v>86</v>
      </c>
      <c r="AO491" s="2" t="s">
        <v>86</v>
      </c>
      <c r="AP491" s="2" t="s">
        <v>86</v>
      </c>
      <c r="AQ491" s="2" t="s">
        <v>86</v>
      </c>
      <c r="AR491" s="2" t="s">
        <v>86</v>
      </c>
      <c r="AS491" s="4">
        <v>176</v>
      </c>
      <c r="AT491" s="4">
        <v>180</v>
      </c>
      <c r="AU491" s="2" t="s">
        <v>86</v>
      </c>
      <c r="AV491" s="2" t="s">
        <v>86</v>
      </c>
      <c r="AW491" s="2" t="s">
        <v>86</v>
      </c>
      <c r="AX491" s="4">
        <v>5</v>
      </c>
      <c r="AY491" s="2" t="s">
        <v>9008</v>
      </c>
      <c r="AZ491" s="2" t="s">
        <v>92</v>
      </c>
      <c r="BA491" s="2" t="s">
        <v>9009</v>
      </c>
      <c r="BB491" s="2" t="s">
        <v>9010</v>
      </c>
      <c r="BC491" s="4">
        <v>29605202</v>
      </c>
      <c r="BD491" s="2" t="s">
        <v>1491</v>
      </c>
      <c r="BE491" s="2" t="s">
        <v>86</v>
      </c>
      <c r="BF491" s="2" t="s">
        <v>86</v>
      </c>
      <c r="BG491" s="2" t="s">
        <v>95</v>
      </c>
      <c r="BH491" s="2" t="s">
        <v>9011</v>
      </c>
      <c r="BI491" s="2" t="str">
        <f>HYPERLINK("https%3A%2F%2Fwww.webofscience.com%2Fwos%2Fwoscc%2Ffull-record%2FWOS:000428794100025","View Full Record in Web of Science")</f>
        <v>View Full Record in Web of Science</v>
      </c>
    </row>
    <row r="492" spans="1:61" customFormat="1" ht="12.75" x14ac:dyDescent="0.2">
      <c r="A492" s="1">
        <v>489</v>
      </c>
      <c r="B492" s="1" t="s">
        <v>1068</v>
      </c>
      <c r="C492" s="1" t="s">
        <v>9012</v>
      </c>
      <c r="D492" s="2" t="s">
        <v>9013</v>
      </c>
      <c r="E492" s="2" t="s">
        <v>9014</v>
      </c>
      <c r="F492" s="3" t="str">
        <f>HYPERLINK("http://dx.doi.org/10.1016/j.microc.2011.04.004","http://dx.doi.org/10.1016/j.microc.2011.04.004")</f>
        <v>http://dx.doi.org/10.1016/j.microc.2011.04.004</v>
      </c>
      <c r="G492" s="2" t="s">
        <v>200</v>
      </c>
      <c r="H492" s="2" t="s">
        <v>9015</v>
      </c>
      <c r="I492" s="2" t="s">
        <v>9016</v>
      </c>
      <c r="J492" s="2" t="s">
        <v>9017</v>
      </c>
      <c r="K492" s="2" t="s">
        <v>68</v>
      </c>
      <c r="L492" s="2" t="s">
        <v>9018</v>
      </c>
      <c r="M492" s="2" t="s">
        <v>9019</v>
      </c>
      <c r="N492" s="2" t="s">
        <v>9020</v>
      </c>
      <c r="O492" s="2" t="s">
        <v>624</v>
      </c>
      <c r="P492" s="2" t="s">
        <v>9021</v>
      </c>
      <c r="Q492" s="2" t="s">
        <v>9022</v>
      </c>
      <c r="R492" s="2" t="s">
        <v>9023</v>
      </c>
      <c r="S492" s="2" t="s">
        <v>9024</v>
      </c>
      <c r="T492" s="2" t="s">
        <v>9025</v>
      </c>
      <c r="U492" s="2" t="s">
        <v>9026</v>
      </c>
      <c r="V492" s="2" t="s">
        <v>9027</v>
      </c>
      <c r="W492" s="2" t="s">
        <v>80</v>
      </c>
      <c r="X492" s="4">
        <v>41</v>
      </c>
      <c r="Y492" s="4">
        <v>181</v>
      </c>
      <c r="Z492" s="4">
        <v>189</v>
      </c>
      <c r="AA492" s="4">
        <v>4</v>
      </c>
      <c r="AB492" s="4">
        <v>76</v>
      </c>
      <c r="AC492" s="2" t="s">
        <v>585</v>
      </c>
      <c r="AD492" s="2" t="s">
        <v>586</v>
      </c>
      <c r="AE492" s="2" t="s">
        <v>587</v>
      </c>
      <c r="AF492" s="2" t="s">
        <v>9028</v>
      </c>
      <c r="AG492" s="2" t="s">
        <v>9029</v>
      </c>
      <c r="AH492" s="2" t="s">
        <v>86</v>
      </c>
      <c r="AI492" s="2" t="s">
        <v>9030</v>
      </c>
      <c r="AJ492" s="2" t="s">
        <v>9031</v>
      </c>
      <c r="AK492" s="2" t="s">
        <v>440</v>
      </c>
      <c r="AL492" s="4">
        <v>2011</v>
      </c>
      <c r="AM492" s="4">
        <v>99</v>
      </c>
      <c r="AN492" s="4">
        <v>1</v>
      </c>
      <c r="AO492" s="2" t="s">
        <v>86</v>
      </c>
      <c r="AP492" s="2" t="s">
        <v>86</v>
      </c>
      <c r="AQ492" s="2" t="s">
        <v>86</v>
      </c>
      <c r="AR492" s="2" t="s">
        <v>86</v>
      </c>
      <c r="AS492" s="4">
        <v>82</v>
      </c>
      <c r="AT492" s="4">
        <v>92</v>
      </c>
      <c r="AU492" s="2" t="s">
        <v>86</v>
      </c>
      <c r="AV492" s="2" t="s">
        <v>86</v>
      </c>
      <c r="AW492" s="2" t="s">
        <v>86</v>
      </c>
      <c r="AX492" s="4">
        <v>11</v>
      </c>
      <c r="AY492" s="2" t="s">
        <v>900</v>
      </c>
      <c r="AZ492" s="2" t="s">
        <v>92</v>
      </c>
      <c r="BA492" s="2" t="s">
        <v>901</v>
      </c>
      <c r="BB492" s="2" t="s">
        <v>9032</v>
      </c>
      <c r="BC492" s="2" t="s">
        <v>86</v>
      </c>
      <c r="BD492" s="2" t="s">
        <v>86</v>
      </c>
      <c r="BE492" s="2" t="s">
        <v>86</v>
      </c>
      <c r="BF492" s="2" t="s">
        <v>86</v>
      </c>
      <c r="BG492" s="2" t="s">
        <v>95</v>
      </c>
      <c r="BH492" s="2" t="s">
        <v>9033</v>
      </c>
      <c r="BI492" s="2" t="str">
        <f>HYPERLINK("https%3A%2F%2Fwww.webofscience.com%2Fwos%2Fwoscc%2Ffull-record%2FWOS:000292431300013","View Full Record in Web of Science")</f>
        <v>View Full Record in Web of Science</v>
      </c>
    </row>
    <row r="493" spans="1:61" customFormat="1" ht="12.75" x14ac:dyDescent="0.2">
      <c r="A493" s="1">
        <v>490</v>
      </c>
      <c r="B493" s="1" t="s">
        <v>1068</v>
      </c>
      <c r="C493" s="1" t="s">
        <v>9034</v>
      </c>
      <c r="D493" s="2" t="s">
        <v>9035</v>
      </c>
      <c r="E493" s="2" t="s">
        <v>9036</v>
      </c>
      <c r="F493" s="3" t="str">
        <f>HYPERLINK("http://dx.doi.org/10.1177/0021998306068089","http://dx.doi.org/10.1177/0021998306068089")</f>
        <v>http://dx.doi.org/10.1177/0021998306068089</v>
      </c>
      <c r="G493" s="2" t="s">
        <v>200</v>
      </c>
      <c r="H493" s="2" t="s">
        <v>9037</v>
      </c>
      <c r="I493" s="2" t="s">
        <v>9038</v>
      </c>
      <c r="J493" s="2" t="s">
        <v>9039</v>
      </c>
      <c r="K493" s="2" t="s">
        <v>68</v>
      </c>
      <c r="L493" s="2" t="s">
        <v>9040</v>
      </c>
      <c r="M493" s="2" t="s">
        <v>86</v>
      </c>
      <c r="N493" s="2" t="s">
        <v>9041</v>
      </c>
      <c r="O493" s="2" t="s">
        <v>9042</v>
      </c>
      <c r="P493" s="2" t="s">
        <v>9043</v>
      </c>
      <c r="Q493" s="2" t="s">
        <v>9044</v>
      </c>
      <c r="R493" s="2" t="s">
        <v>9045</v>
      </c>
      <c r="S493" s="2" t="s">
        <v>9046</v>
      </c>
      <c r="T493" s="2" t="s">
        <v>86</v>
      </c>
      <c r="U493" s="2" t="s">
        <v>86</v>
      </c>
      <c r="V493" s="2" t="s">
        <v>86</v>
      </c>
      <c r="W493" s="2" t="s">
        <v>80</v>
      </c>
      <c r="X493" s="4">
        <v>17</v>
      </c>
      <c r="Y493" s="4">
        <v>12</v>
      </c>
      <c r="Z493" s="4">
        <v>12</v>
      </c>
      <c r="AA493" s="4">
        <v>1</v>
      </c>
      <c r="AB493" s="4">
        <v>23</v>
      </c>
      <c r="AC493" s="2" t="s">
        <v>3309</v>
      </c>
      <c r="AD493" s="2" t="s">
        <v>605</v>
      </c>
      <c r="AE493" s="2" t="s">
        <v>3310</v>
      </c>
      <c r="AF493" s="2" t="s">
        <v>9047</v>
      </c>
      <c r="AG493" s="2" t="s">
        <v>9048</v>
      </c>
      <c r="AH493" s="2" t="s">
        <v>86</v>
      </c>
      <c r="AI493" s="2" t="s">
        <v>9049</v>
      </c>
      <c r="AJ493" s="2" t="s">
        <v>9050</v>
      </c>
      <c r="AK493" s="2" t="s">
        <v>342</v>
      </c>
      <c r="AL493" s="4">
        <v>2007</v>
      </c>
      <c r="AM493" s="4">
        <v>41</v>
      </c>
      <c r="AN493" s="4">
        <v>12</v>
      </c>
      <c r="AO493" s="2" t="s">
        <v>86</v>
      </c>
      <c r="AP493" s="2" t="s">
        <v>86</v>
      </c>
      <c r="AQ493" s="2" t="s">
        <v>86</v>
      </c>
      <c r="AR493" s="2" t="s">
        <v>86</v>
      </c>
      <c r="AS493" s="4">
        <v>1521</v>
      </c>
      <c r="AT493" s="4">
        <v>1533</v>
      </c>
      <c r="AU493" s="2" t="s">
        <v>86</v>
      </c>
      <c r="AV493" s="2" t="s">
        <v>86</v>
      </c>
      <c r="AW493" s="2" t="s">
        <v>86</v>
      </c>
      <c r="AX493" s="4">
        <v>13</v>
      </c>
      <c r="AY493" s="2" t="s">
        <v>6804</v>
      </c>
      <c r="AZ493" s="2" t="s">
        <v>92</v>
      </c>
      <c r="BA493" s="2" t="s">
        <v>3123</v>
      </c>
      <c r="BB493" s="2" t="s">
        <v>9051</v>
      </c>
      <c r="BC493" s="2" t="s">
        <v>86</v>
      </c>
      <c r="BD493" s="2" t="s">
        <v>86</v>
      </c>
      <c r="BE493" s="2" t="s">
        <v>86</v>
      </c>
      <c r="BF493" s="2" t="s">
        <v>86</v>
      </c>
      <c r="BG493" s="2" t="s">
        <v>95</v>
      </c>
      <c r="BH493" s="2" t="s">
        <v>9052</v>
      </c>
      <c r="BI493" s="2" t="str">
        <f>HYPERLINK("https%3A%2F%2Fwww.webofscience.com%2Fwos%2Fwoscc%2Ffull-record%2FWOS:000248225700008","View Full Record in Web of Science")</f>
        <v>View Full Record in Web of Science</v>
      </c>
    </row>
    <row r="494" spans="1:61" customFormat="1" ht="12.75" x14ac:dyDescent="0.2">
      <c r="A494" s="1">
        <v>491</v>
      </c>
      <c r="B494" s="1" t="s">
        <v>1068</v>
      </c>
      <c r="C494" s="1" t="s">
        <v>9053</v>
      </c>
      <c r="D494" s="2" t="s">
        <v>9054</v>
      </c>
      <c r="E494" s="2" t="s">
        <v>9055</v>
      </c>
      <c r="F494" s="3" t="str">
        <f>HYPERLINK("http://dx.doi.org/10.1016/j.jip.2020.107332","http://dx.doi.org/10.1016/j.jip.2020.107332")</f>
        <v>http://dx.doi.org/10.1016/j.jip.2020.107332</v>
      </c>
      <c r="G494" s="2" t="s">
        <v>200</v>
      </c>
      <c r="H494" s="2" t="s">
        <v>9056</v>
      </c>
      <c r="I494" s="2" t="s">
        <v>9057</v>
      </c>
      <c r="J494" s="2" t="s">
        <v>9058</v>
      </c>
      <c r="K494" s="2" t="s">
        <v>68</v>
      </c>
      <c r="L494" s="2" t="s">
        <v>9059</v>
      </c>
      <c r="M494" s="2" t="s">
        <v>9060</v>
      </c>
      <c r="N494" s="2" t="s">
        <v>9061</v>
      </c>
      <c r="O494" s="2" t="s">
        <v>9062</v>
      </c>
      <c r="P494" s="2" t="s">
        <v>9063</v>
      </c>
      <c r="Q494" s="2" t="s">
        <v>9064</v>
      </c>
      <c r="R494" s="2" t="s">
        <v>9065</v>
      </c>
      <c r="S494" s="2" t="s">
        <v>9066</v>
      </c>
      <c r="T494" s="2" t="s">
        <v>9067</v>
      </c>
      <c r="U494" s="2" t="s">
        <v>9068</v>
      </c>
      <c r="V494" s="2" t="s">
        <v>9069</v>
      </c>
      <c r="W494" s="2" t="s">
        <v>80</v>
      </c>
      <c r="X494" s="4">
        <v>33</v>
      </c>
      <c r="Y494" s="4">
        <v>4</v>
      </c>
      <c r="Z494" s="4">
        <v>7</v>
      </c>
      <c r="AA494" s="4">
        <v>0</v>
      </c>
      <c r="AB494" s="4">
        <v>7</v>
      </c>
      <c r="AC494" s="2" t="s">
        <v>1550</v>
      </c>
      <c r="AD494" s="2" t="s">
        <v>1551</v>
      </c>
      <c r="AE494" s="2" t="s">
        <v>1552</v>
      </c>
      <c r="AF494" s="2" t="s">
        <v>9070</v>
      </c>
      <c r="AG494" s="2" t="s">
        <v>9071</v>
      </c>
      <c r="AH494" s="2" t="s">
        <v>86</v>
      </c>
      <c r="AI494" s="2" t="s">
        <v>9072</v>
      </c>
      <c r="AJ494" s="2" t="s">
        <v>9073</v>
      </c>
      <c r="AK494" s="2" t="s">
        <v>366</v>
      </c>
      <c r="AL494" s="4">
        <v>2020</v>
      </c>
      <c r="AM494" s="4">
        <v>171</v>
      </c>
      <c r="AN494" s="2" t="s">
        <v>86</v>
      </c>
      <c r="AO494" s="2" t="s">
        <v>86</v>
      </c>
      <c r="AP494" s="2" t="s">
        <v>86</v>
      </c>
      <c r="AQ494" s="2" t="s">
        <v>86</v>
      </c>
      <c r="AR494" s="2" t="s">
        <v>86</v>
      </c>
      <c r="AS494" s="2" t="s">
        <v>86</v>
      </c>
      <c r="AT494" s="2" t="s">
        <v>86</v>
      </c>
      <c r="AU494" s="4">
        <v>107332</v>
      </c>
      <c r="AV494" s="2" t="s">
        <v>86</v>
      </c>
      <c r="AW494" s="2" t="s">
        <v>86</v>
      </c>
      <c r="AX494" s="4">
        <v>15</v>
      </c>
      <c r="AY494" s="2" t="s">
        <v>2113</v>
      </c>
      <c r="AZ494" s="2" t="s">
        <v>92</v>
      </c>
      <c r="BA494" s="2" t="s">
        <v>2113</v>
      </c>
      <c r="BB494" s="2" t="s">
        <v>9074</v>
      </c>
      <c r="BC494" s="4">
        <v>32027881</v>
      </c>
      <c r="BD494" s="2" t="s">
        <v>86</v>
      </c>
      <c r="BE494" s="2" t="s">
        <v>86</v>
      </c>
      <c r="BF494" s="2" t="s">
        <v>86</v>
      </c>
      <c r="BG494" s="2" t="s">
        <v>95</v>
      </c>
      <c r="BH494" s="2" t="s">
        <v>9075</v>
      </c>
      <c r="BI494" s="2" t="str">
        <f>HYPERLINK("https%3A%2F%2Fwww.webofscience.com%2Fwos%2Fwoscc%2Ffull-record%2FWOS:000525887600010","View Full Record in Web of Science")</f>
        <v>View Full Record in Web of Science</v>
      </c>
    </row>
    <row r="495" spans="1:61" customFormat="1" ht="12.75" x14ac:dyDescent="0.2">
      <c r="A495" s="1">
        <v>492</v>
      </c>
      <c r="B495" s="1" t="s">
        <v>1068</v>
      </c>
      <c r="C495" s="1" t="s">
        <v>9076</v>
      </c>
      <c r="D495" s="2" t="s">
        <v>9077</v>
      </c>
      <c r="E495" s="2" t="s">
        <v>9078</v>
      </c>
      <c r="F495" s="3" t="str">
        <f>HYPERLINK("http://dx.doi.org/10.3389/fclim.2020.600998","http://dx.doi.org/10.3389/fclim.2020.600998")</f>
        <v>http://dx.doi.org/10.3389/fclim.2020.600998</v>
      </c>
      <c r="G495" s="2" t="s">
        <v>200</v>
      </c>
      <c r="H495" s="2" t="s">
        <v>9079</v>
      </c>
      <c r="I495" s="2" t="s">
        <v>9080</v>
      </c>
      <c r="J495" s="2" t="s">
        <v>9081</v>
      </c>
      <c r="K495" s="2" t="s">
        <v>68</v>
      </c>
      <c r="L495" s="2" t="s">
        <v>9082</v>
      </c>
      <c r="M495" s="2" t="s">
        <v>9083</v>
      </c>
      <c r="N495" s="2" t="s">
        <v>9084</v>
      </c>
      <c r="O495" s="2" t="s">
        <v>9085</v>
      </c>
      <c r="P495" s="2" t="s">
        <v>9086</v>
      </c>
      <c r="Q495" s="2" t="s">
        <v>9087</v>
      </c>
      <c r="R495" s="2" t="s">
        <v>86</v>
      </c>
      <c r="S495" s="2" t="s">
        <v>86</v>
      </c>
      <c r="T495" s="2" t="s">
        <v>86</v>
      </c>
      <c r="U495" s="2" t="s">
        <v>86</v>
      </c>
      <c r="V495" s="2" t="s">
        <v>86</v>
      </c>
      <c r="W495" s="2" t="s">
        <v>80</v>
      </c>
      <c r="X495" s="4">
        <v>22</v>
      </c>
      <c r="Y495" s="4">
        <v>9</v>
      </c>
      <c r="Z495" s="4">
        <v>9</v>
      </c>
      <c r="AA495" s="4">
        <v>0</v>
      </c>
      <c r="AB495" s="4">
        <v>0</v>
      </c>
      <c r="AC495" s="2" t="s">
        <v>782</v>
      </c>
      <c r="AD495" s="2" t="s">
        <v>783</v>
      </c>
      <c r="AE495" s="2" t="s">
        <v>784</v>
      </c>
      <c r="AF495" s="2" t="s">
        <v>86</v>
      </c>
      <c r="AG495" s="2" t="s">
        <v>9088</v>
      </c>
      <c r="AH495" s="2" t="s">
        <v>86</v>
      </c>
      <c r="AI495" s="2" t="s">
        <v>9089</v>
      </c>
      <c r="AJ495" s="2" t="s">
        <v>9090</v>
      </c>
      <c r="AK495" s="2" t="s">
        <v>9091</v>
      </c>
      <c r="AL495" s="4">
        <v>2020</v>
      </c>
      <c r="AM495" s="4">
        <v>2</v>
      </c>
      <c r="AN495" s="2" t="s">
        <v>86</v>
      </c>
      <c r="AO495" s="2" t="s">
        <v>86</v>
      </c>
      <c r="AP495" s="2" t="s">
        <v>86</v>
      </c>
      <c r="AQ495" s="2" t="s">
        <v>86</v>
      </c>
      <c r="AR495" s="2" t="s">
        <v>86</v>
      </c>
      <c r="AS495" s="2" t="s">
        <v>86</v>
      </c>
      <c r="AT495" s="2" t="s">
        <v>86</v>
      </c>
      <c r="AU495" s="4">
        <v>600998</v>
      </c>
      <c r="AV495" s="2" t="s">
        <v>86</v>
      </c>
      <c r="AW495" s="2" t="s">
        <v>86</v>
      </c>
      <c r="AX495" s="4">
        <v>7</v>
      </c>
      <c r="AY495" s="2" t="s">
        <v>6505</v>
      </c>
      <c r="AZ495" s="2" t="s">
        <v>171</v>
      </c>
      <c r="BA495" s="2" t="s">
        <v>93</v>
      </c>
      <c r="BB495" s="2" t="s">
        <v>9092</v>
      </c>
      <c r="BC495" s="2" t="s">
        <v>86</v>
      </c>
      <c r="BD495" s="2" t="s">
        <v>723</v>
      </c>
      <c r="BE495" s="2" t="s">
        <v>86</v>
      </c>
      <c r="BF495" s="2" t="s">
        <v>86</v>
      </c>
      <c r="BG495" s="2" t="s">
        <v>95</v>
      </c>
      <c r="BH495" s="2" t="s">
        <v>9093</v>
      </c>
      <c r="BI495" s="2" t="str">
        <f>HYPERLINK("https%3A%2F%2Fwww.webofscience.com%2Fwos%2Fwoscc%2Ffull-record%2FWOS:001023157100001","View Full Record in Web of Science")</f>
        <v>View Full Record in Web of Science</v>
      </c>
    </row>
    <row r="496" spans="1:61" customFormat="1" ht="12.75" x14ac:dyDescent="0.2">
      <c r="A496" s="1">
        <v>493</v>
      </c>
      <c r="B496" s="1" t="s">
        <v>1068</v>
      </c>
      <c r="C496" s="1" t="s">
        <v>9094</v>
      </c>
      <c r="D496" s="2" t="s">
        <v>9095</v>
      </c>
      <c r="E496" s="2" t="s">
        <v>9096</v>
      </c>
      <c r="F496" s="3" t="str">
        <f>HYPERLINK("http://dx.doi.org/10.3390/su13031462","http://dx.doi.org/10.3390/su13031462")</f>
        <v>http://dx.doi.org/10.3390/su13031462</v>
      </c>
      <c r="G496" s="2" t="s">
        <v>200</v>
      </c>
      <c r="H496" s="2" t="s">
        <v>9097</v>
      </c>
      <c r="I496" s="2" t="s">
        <v>9098</v>
      </c>
      <c r="J496" s="2" t="s">
        <v>522</v>
      </c>
      <c r="K496" s="2" t="s">
        <v>68</v>
      </c>
      <c r="L496" s="2" t="s">
        <v>9099</v>
      </c>
      <c r="M496" s="2" t="s">
        <v>9100</v>
      </c>
      <c r="N496" s="2" t="s">
        <v>9101</v>
      </c>
      <c r="O496" s="2" t="s">
        <v>9102</v>
      </c>
      <c r="P496" s="2" t="s">
        <v>9103</v>
      </c>
      <c r="Q496" s="2" t="s">
        <v>9104</v>
      </c>
      <c r="R496" s="2" t="s">
        <v>9105</v>
      </c>
      <c r="S496" s="2" t="s">
        <v>9106</v>
      </c>
      <c r="T496" s="2" t="s">
        <v>9107</v>
      </c>
      <c r="U496" s="2" t="s">
        <v>9108</v>
      </c>
      <c r="V496" s="2" t="s">
        <v>9109</v>
      </c>
      <c r="W496" s="2" t="s">
        <v>80</v>
      </c>
      <c r="X496" s="4">
        <v>56</v>
      </c>
      <c r="Y496" s="4">
        <v>19</v>
      </c>
      <c r="Z496" s="4">
        <v>20</v>
      </c>
      <c r="AA496" s="4">
        <v>3</v>
      </c>
      <c r="AB496" s="4">
        <v>22</v>
      </c>
      <c r="AC496" s="2" t="s">
        <v>211</v>
      </c>
      <c r="AD496" s="2" t="s">
        <v>212</v>
      </c>
      <c r="AE496" s="2" t="s">
        <v>213</v>
      </c>
      <c r="AF496" s="2" t="s">
        <v>86</v>
      </c>
      <c r="AG496" s="2" t="s">
        <v>531</v>
      </c>
      <c r="AH496" s="2" t="s">
        <v>86</v>
      </c>
      <c r="AI496" s="2" t="s">
        <v>532</v>
      </c>
      <c r="AJ496" s="2" t="s">
        <v>533</v>
      </c>
      <c r="AK496" s="2" t="s">
        <v>146</v>
      </c>
      <c r="AL496" s="4">
        <v>2021</v>
      </c>
      <c r="AM496" s="4">
        <v>13</v>
      </c>
      <c r="AN496" s="4">
        <v>3</v>
      </c>
      <c r="AO496" s="2" t="s">
        <v>86</v>
      </c>
      <c r="AP496" s="2" t="s">
        <v>86</v>
      </c>
      <c r="AQ496" s="2" t="s">
        <v>86</v>
      </c>
      <c r="AR496" s="2" t="s">
        <v>86</v>
      </c>
      <c r="AS496" s="2" t="s">
        <v>86</v>
      </c>
      <c r="AT496" s="2" t="s">
        <v>86</v>
      </c>
      <c r="AU496" s="4">
        <v>1462</v>
      </c>
      <c r="AV496" s="2" t="s">
        <v>86</v>
      </c>
      <c r="AW496" s="2" t="s">
        <v>86</v>
      </c>
      <c r="AX496" s="4">
        <v>13</v>
      </c>
      <c r="AY496" s="2" t="s">
        <v>535</v>
      </c>
      <c r="AZ496" s="2" t="s">
        <v>536</v>
      </c>
      <c r="BA496" s="2" t="s">
        <v>537</v>
      </c>
      <c r="BB496" s="2" t="s">
        <v>9110</v>
      </c>
      <c r="BC496" s="2" t="s">
        <v>86</v>
      </c>
      <c r="BD496" s="2" t="s">
        <v>723</v>
      </c>
      <c r="BE496" s="2" t="s">
        <v>86</v>
      </c>
      <c r="BF496" s="2" t="s">
        <v>86</v>
      </c>
      <c r="BG496" s="2" t="s">
        <v>95</v>
      </c>
      <c r="BH496" s="2" t="s">
        <v>9111</v>
      </c>
      <c r="BI496" s="2" t="str">
        <f>HYPERLINK("https%3A%2F%2Fwww.webofscience.com%2Fwos%2Fwoscc%2Ffull-record%2FWOS:000615616900001","View Full Record in Web of Science")</f>
        <v>View Full Record in Web of Science</v>
      </c>
    </row>
    <row r="497" spans="1:61" customFormat="1" ht="12.75" x14ac:dyDescent="0.2">
      <c r="A497" s="1">
        <v>494</v>
      </c>
      <c r="B497" s="1" t="s">
        <v>1068</v>
      </c>
      <c r="C497" s="1" t="s">
        <v>9112</v>
      </c>
      <c r="D497" s="2" t="s">
        <v>9113</v>
      </c>
      <c r="E497" s="2" t="s">
        <v>86</v>
      </c>
      <c r="F497" s="2" t="s">
        <v>86</v>
      </c>
      <c r="G497" s="2" t="s">
        <v>200</v>
      </c>
      <c r="H497" s="2" t="s">
        <v>9114</v>
      </c>
      <c r="I497" s="2" t="s">
        <v>9115</v>
      </c>
      <c r="J497" s="2" t="s">
        <v>7277</v>
      </c>
      <c r="K497" s="2" t="s">
        <v>68</v>
      </c>
      <c r="L497" s="2" t="s">
        <v>9116</v>
      </c>
      <c r="M497" s="2" t="s">
        <v>9117</v>
      </c>
      <c r="N497" s="2" t="s">
        <v>9118</v>
      </c>
      <c r="O497" s="2" t="s">
        <v>9119</v>
      </c>
      <c r="P497" s="2" t="s">
        <v>9120</v>
      </c>
      <c r="Q497" s="2" t="s">
        <v>86</v>
      </c>
      <c r="R497" s="2" t="s">
        <v>86</v>
      </c>
      <c r="S497" s="2" t="s">
        <v>9121</v>
      </c>
      <c r="T497" s="2" t="s">
        <v>86</v>
      </c>
      <c r="U497" s="2" t="s">
        <v>86</v>
      </c>
      <c r="V497" s="2" t="s">
        <v>86</v>
      </c>
      <c r="W497" s="2" t="s">
        <v>80</v>
      </c>
      <c r="X497" s="4">
        <v>36</v>
      </c>
      <c r="Y497" s="4">
        <v>2</v>
      </c>
      <c r="Z497" s="4">
        <v>2</v>
      </c>
      <c r="AA497" s="4">
        <v>0</v>
      </c>
      <c r="AB497" s="4">
        <v>2</v>
      </c>
      <c r="AC497" s="2" t="s">
        <v>7285</v>
      </c>
      <c r="AD497" s="2" t="s">
        <v>5596</v>
      </c>
      <c r="AE497" s="2" t="s">
        <v>7286</v>
      </c>
      <c r="AF497" s="2" t="s">
        <v>7287</v>
      </c>
      <c r="AG497" s="2" t="s">
        <v>7465</v>
      </c>
      <c r="AH497" s="2" t="s">
        <v>86</v>
      </c>
      <c r="AI497" s="2" t="s">
        <v>7288</v>
      </c>
      <c r="AJ497" s="2" t="s">
        <v>7289</v>
      </c>
      <c r="AK497" s="2" t="s">
        <v>121</v>
      </c>
      <c r="AL497" s="4">
        <v>2008</v>
      </c>
      <c r="AM497" s="4">
        <v>7</v>
      </c>
      <c r="AN497" s="4">
        <v>11</v>
      </c>
      <c r="AO497" s="2" t="s">
        <v>86</v>
      </c>
      <c r="AP497" s="2" t="s">
        <v>86</v>
      </c>
      <c r="AQ497" s="2" t="s">
        <v>86</v>
      </c>
      <c r="AR497" s="2" t="s">
        <v>86</v>
      </c>
      <c r="AS497" s="4">
        <v>1345</v>
      </c>
      <c r="AT497" s="4">
        <v>1351</v>
      </c>
      <c r="AU497" s="2" t="s">
        <v>86</v>
      </c>
      <c r="AV497" s="2" t="s">
        <v>86</v>
      </c>
      <c r="AW497" s="2" t="s">
        <v>86</v>
      </c>
      <c r="AX497" s="4">
        <v>7</v>
      </c>
      <c r="AY497" s="2" t="s">
        <v>1881</v>
      </c>
      <c r="AZ497" s="2" t="s">
        <v>92</v>
      </c>
      <c r="BA497" s="2" t="s">
        <v>1881</v>
      </c>
      <c r="BB497" s="2" t="s">
        <v>9122</v>
      </c>
      <c r="BC497" s="2" t="s">
        <v>86</v>
      </c>
      <c r="BD497" s="2" t="s">
        <v>86</v>
      </c>
      <c r="BE497" s="2" t="s">
        <v>86</v>
      </c>
      <c r="BF497" s="2" t="s">
        <v>86</v>
      </c>
      <c r="BG497" s="2" t="s">
        <v>95</v>
      </c>
      <c r="BH497" s="2" t="s">
        <v>9123</v>
      </c>
      <c r="BI497" s="2" t="str">
        <f>HYPERLINK("https%3A%2F%2Fwww.webofscience.com%2Fwos%2Fwoscc%2Ffull-record%2FWOS:000260428600002","View Full Record in Web of Science")</f>
        <v>View Full Record in Web of Science</v>
      </c>
    </row>
    <row r="498" spans="1:61" customFormat="1" ht="12.75" x14ac:dyDescent="0.2">
      <c r="A498" s="1">
        <v>495</v>
      </c>
      <c r="B498" s="1" t="s">
        <v>1068</v>
      </c>
      <c r="C498" s="1" t="s">
        <v>9124</v>
      </c>
      <c r="D498" s="2" t="s">
        <v>9125</v>
      </c>
      <c r="E498" s="2" t="s">
        <v>9126</v>
      </c>
      <c r="F498" s="3" t="str">
        <f>HYPERLINK("http://dx.doi.org/10.4274/jpr.04796","http://dx.doi.org/10.4274/jpr.04796")</f>
        <v>http://dx.doi.org/10.4274/jpr.04796</v>
      </c>
      <c r="G498" s="2" t="s">
        <v>200</v>
      </c>
      <c r="H498" s="2" t="s">
        <v>9127</v>
      </c>
      <c r="I498" s="2" t="s">
        <v>9128</v>
      </c>
      <c r="J498" s="2" t="s">
        <v>9129</v>
      </c>
      <c r="K498" s="2" t="s">
        <v>68</v>
      </c>
      <c r="L498" s="2" t="s">
        <v>9130</v>
      </c>
      <c r="M498" s="2" t="s">
        <v>9131</v>
      </c>
      <c r="N498" s="2" t="s">
        <v>9132</v>
      </c>
      <c r="O498" s="2" t="s">
        <v>9133</v>
      </c>
      <c r="P498" s="2" t="s">
        <v>9134</v>
      </c>
      <c r="Q498" s="2" t="s">
        <v>9135</v>
      </c>
      <c r="R498" s="2" t="s">
        <v>9136</v>
      </c>
      <c r="S498" s="2" t="s">
        <v>9137</v>
      </c>
      <c r="T498" s="2" t="s">
        <v>86</v>
      </c>
      <c r="U498" s="2" t="s">
        <v>86</v>
      </c>
      <c r="V498" s="2" t="s">
        <v>86</v>
      </c>
      <c r="W498" s="2" t="s">
        <v>80</v>
      </c>
      <c r="X498" s="4">
        <v>43</v>
      </c>
      <c r="Y498" s="4">
        <v>1</v>
      </c>
      <c r="Z498" s="4">
        <v>1</v>
      </c>
      <c r="AA498" s="4">
        <v>0</v>
      </c>
      <c r="AB498" s="4">
        <v>7</v>
      </c>
      <c r="AC498" s="2" t="s">
        <v>9138</v>
      </c>
      <c r="AD498" s="2" t="s">
        <v>9139</v>
      </c>
      <c r="AE498" s="2" t="s">
        <v>9140</v>
      </c>
      <c r="AF498" s="2" t="s">
        <v>9141</v>
      </c>
      <c r="AG498" s="2" t="s">
        <v>86</v>
      </c>
      <c r="AH498" s="2" t="s">
        <v>86</v>
      </c>
      <c r="AI498" s="2" t="s">
        <v>9142</v>
      </c>
      <c r="AJ498" s="2" t="s">
        <v>9143</v>
      </c>
      <c r="AK498" s="2" t="s">
        <v>217</v>
      </c>
      <c r="AL498" s="4">
        <v>2018</v>
      </c>
      <c r="AM498" s="4">
        <v>5</v>
      </c>
      <c r="AN498" s="4">
        <v>4</v>
      </c>
      <c r="AO498" s="2" t="s">
        <v>86</v>
      </c>
      <c r="AP498" s="2" t="s">
        <v>86</v>
      </c>
      <c r="AQ498" s="2" t="s">
        <v>86</v>
      </c>
      <c r="AR498" s="2" t="s">
        <v>86</v>
      </c>
      <c r="AS498" s="4">
        <v>201</v>
      </c>
      <c r="AT498" s="4">
        <v>207</v>
      </c>
      <c r="AU498" s="2" t="s">
        <v>86</v>
      </c>
      <c r="AV498" s="2" t="s">
        <v>86</v>
      </c>
      <c r="AW498" s="2" t="s">
        <v>86</v>
      </c>
      <c r="AX498" s="4">
        <v>7</v>
      </c>
      <c r="AY498" s="2" t="s">
        <v>6219</v>
      </c>
      <c r="AZ498" s="2" t="s">
        <v>171</v>
      </c>
      <c r="BA498" s="2" t="s">
        <v>6219</v>
      </c>
      <c r="BB498" s="2" t="s">
        <v>9144</v>
      </c>
      <c r="BC498" s="2" t="s">
        <v>86</v>
      </c>
      <c r="BD498" s="2" t="s">
        <v>940</v>
      </c>
      <c r="BE498" s="2" t="s">
        <v>86</v>
      </c>
      <c r="BF498" s="2" t="s">
        <v>86</v>
      </c>
      <c r="BG498" s="2" t="s">
        <v>95</v>
      </c>
      <c r="BH498" s="2" t="s">
        <v>9145</v>
      </c>
      <c r="BI498" s="2" t="str">
        <f>HYPERLINK("https%3A%2F%2Fwww.webofscience.com%2Fwos%2Fwoscc%2Ffull-record%2FWOS:000456832200007","View Full Record in Web of Science")</f>
        <v>View Full Record in Web of Science</v>
      </c>
    </row>
    <row r="499" spans="1:61" customFormat="1" ht="12.75" x14ac:dyDescent="0.2">
      <c r="A499" s="1">
        <v>496</v>
      </c>
      <c r="B499" s="1" t="s">
        <v>1068</v>
      </c>
      <c r="C499" s="1" t="s">
        <v>9146</v>
      </c>
      <c r="D499" s="2" t="s">
        <v>9147</v>
      </c>
      <c r="E499" s="2" t="s">
        <v>86</v>
      </c>
      <c r="F499" s="2" t="s">
        <v>86</v>
      </c>
      <c r="G499" s="2" t="s">
        <v>200</v>
      </c>
      <c r="H499" s="2" t="s">
        <v>9148</v>
      </c>
      <c r="I499" s="2" t="s">
        <v>9149</v>
      </c>
      <c r="J499" s="2" t="s">
        <v>1918</v>
      </c>
      <c r="K499" s="2" t="s">
        <v>68</v>
      </c>
      <c r="L499" s="2" t="s">
        <v>9150</v>
      </c>
      <c r="M499" s="2" t="s">
        <v>9151</v>
      </c>
      <c r="N499" s="2" t="s">
        <v>9152</v>
      </c>
      <c r="O499" s="2" t="s">
        <v>9153</v>
      </c>
      <c r="P499" s="2" t="s">
        <v>9154</v>
      </c>
      <c r="Q499" s="2" t="s">
        <v>9155</v>
      </c>
      <c r="R499" s="2" t="s">
        <v>9156</v>
      </c>
      <c r="S499" s="2" t="s">
        <v>9157</v>
      </c>
      <c r="T499" s="2" t="s">
        <v>86</v>
      </c>
      <c r="U499" s="2" t="s">
        <v>86</v>
      </c>
      <c r="V499" s="2" t="s">
        <v>86</v>
      </c>
      <c r="W499" s="2" t="s">
        <v>80</v>
      </c>
      <c r="X499" s="4">
        <v>37</v>
      </c>
      <c r="Y499" s="4">
        <v>9</v>
      </c>
      <c r="Z499" s="4">
        <v>9</v>
      </c>
      <c r="AA499" s="4">
        <v>0</v>
      </c>
      <c r="AB499" s="4">
        <v>12</v>
      </c>
      <c r="AC499" s="2" t="s">
        <v>1927</v>
      </c>
      <c r="AD499" s="2" t="s">
        <v>1928</v>
      </c>
      <c r="AE499" s="2" t="s">
        <v>1929</v>
      </c>
      <c r="AF499" s="2" t="s">
        <v>1930</v>
      </c>
      <c r="AG499" s="2" t="s">
        <v>1931</v>
      </c>
      <c r="AH499" s="2" t="s">
        <v>86</v>
      </c>
      <c r="AI499" s="2" t="s">
        <v>1932</v>
      </c>
      <c r="AJ499" s="2" t="s">
        <v>1933</v>
      </c>
      <c r="AK499" s="2" t="s">
        <v>86</v>
      </c>
      <c r="AL499" s="4">
        <v>2017</v>
      </c>
      <c r="AM499" s="4">
        <v>26</v>
      </c>
      <c r="AN499" s="4">
        <v>10</v>
      </c>
      <c r="AO499" s="2" t="s">
        <v>86</v>
      </c>
      <c r="AP499" s="2" t="s">
        <v>86</v>
      </c>
      <c r="AQ499" s="2" t="s">
        <v>86</v>
      </c>
      <c r="AR499" s="2" t="s">
        <v>86</v>
      </c>
      <c r="AS499" s="4">
        <v>5754</v>
      </c>
      <c r="AT499" s="4">
        <v>5760</v>
      </c>
      <c r="AU499" s="2" t="s">
        <v>86</v>
      </c>
      <c r="AV499" s="2" t="s">
        <v>86</v>
      </c>
      <c r="AW499" s="2" t="s">
        <v>86</v>
      </c>
      <c r="AX499" s="4">
        <v>7</v>
      </c>
      <c r="AY499" s="2" t="s">
        <v>91</v>
      </c>
      <c r="AZ499" s="2" t="s">
        <v>92</v>
      </c>
      <c r="BA499" s="2" t="s">
        <v>93</v>
      </c>
      <c r="BB499" s="2" t="s">
        <v>9158</v>
      </c>
      <c r="BC499" s="2" t="s">
        <v>86</v>
      </c>
      <c r="BD499" s="2" t="s">
        <v>86</v>
      </c>
      <c r="BE499" s="2" t="s">
        <v>86</v>
      </c>
      <c r="BF499" s="2" t="s">
        <v>86</v>
      </c>
      <c r="BG499" s="2" t="s">
        <v>95</v>
      </c>
      <c r="BH499" s="2" t="s">
        <v>9159</v>
      </c>
      <c r="BI499" s="2" t="str">
        <f>HYPERLINK("https%3A%2F%2Fwww.webofscience.com%2Fwos%2Fwoscc%2Ffull-record%2FWOS:000413499500009","View Full Record in Web of Science")</f>
        <v>View Full Record in Web of Science</v>
      </c>
    </row>
    <row r="500" spans="1:61" customFormat="1" ht="12.75" x14ac:dyDescent="0.2">
      <c r="A500" s="1">
        <v>497</v>
      </c>
      <c r="B500" s="1" t="s">
        <v>1068</v>
      </c>
      <c r="C500" s="1" t="s">
        <v>9160</v>
      </c>
      <c r="D500" s="2" t="s">
        <v>9161</v>
      </c>
      <c r="E500" s="2" t="s">
        <v>9162</v>
      </c>
      <c r="F500" s="3" t="str">
        <f>HYPERLINK("http://dx.doi.org/10.1016/j.aquaeng.2022.102255","http://dx.doi.org/10.1016/j.aquaeng.2022.102255")</f>
        <v>http://dx.doi.org/10.1016/j.aquaeng.2022.102255</v>
      </c>
      <c r="G500" s="2" t="s">
        <v>200</v>
      </c>
      <c r="H500" s="2" t="s">
        <v>9163</v>
      </c>
      <c r="I500" s="2" t="s">
        <v>9164</v>
      </c>
      <c r="J500" s="2" t="s">
        <v>9165</v>
      </c>
      <c r="K500" s="2" t="s">
        <v>68</v>
      </c>
      <c r="L500" s="2" t="s">
        <v>9166</v>
      </c>
      <c r="M500" s="2" t="s">
        <v>9167</v>
      </c>
      <c r="N500" s="2" t="s">
        <v>9168</v>
      </c>
      <c r="O500" s="2" t="s">
        <v>159</v>
      </c>
      <c r="P500" s="2" t="s">
        <v>9169</v>
      </c>
      <c r="Q500" s="2" t="s">
        <v>9170</v>
      </c>
      <c r="R500" s="2" t="s">
        <v>9171</v>
      </c>
      <c r="S500" s="2" t="s">
        <v>86</v>
      </c>
      <c r="T500" s="2" t="s">
        <v>9172</v>
      </c>
      <c r="U500" s="2" t="s">
        <v>2572</v>
      </c>
      <c r="V500" s="2" t="s">
        <v>9173</v>
      </c>
      <c r="W500" s="2" t="s">
        <v>80</v>
      </c>
      <c r="X500" s="4">
        <v>66</v>
      </c>
      <c r="Y500" s="4">
        <v>3</v>
      </c>
      <c r="Z500" s="4">
        <v>3</v>
      </c>
      <c r="AA500" s="4">
        <v>1</v>
      </c>
      <c r="AB500" s="4">
        <v>7</v>
      </c>
      <c r="AC500" s="2" t="s">
        <v>114</v>
      </c>
      <c r="AD500" s="2" t="s">
        <v>115</v>
      </c>
      <c r="AE500" s="2" t="s">
        <v>116</v>
      </c>
      <c r="AF500" s="2" t="s">
        <v>9174</v>
      </c>
      <c r="AG500" s="2" t="s">
        <v>9175</v>
      </c>
      <c r="AH500" s="2" t="s">
        <v>86</v>
      </c>
      <c r="AI500" s="2" t="s">
        <v>9176</v>
      </c>
      <c r="AJ500" s="2" t="s">
        <v>9177</v>
      </c>
      <c r="AK500" s="2" t="s">
        <v>636</v>
      </c>
      <c r="AL500" s="4">
        <v>2022</v>
      </c>
      <c r="AM500" s="4">
        <v>98</v>
      </c>
      <c r="AN500" s="2" t="s">
        <v>86</v>
      </c>
      <c r="AO500" s="2" t="s">
        <v>86</v>
      </c>
      <c r="AP500" s="2" t="s">
        <v>86</v>
      </c>
      <c r="AQ500" s="2" t="s">
        <v>86</v>
      </c>
      <c r="AR500" s="2" t="s">
        <v>86</v>
      </c>
      <c r="AS500" s="2" t="s">
        <v>86</v>
      </c>
      <c r="AT500" s="2" t="s">
        <v>86</v>
      </c>
      <c r="AU500" s="4">
        <v>102255</v>
      </c>
      <c r="AV500" s="2" t="s">
        <v>86</v>
      </c>
      <c r="AW500" s="2" t="s">
        <v>2863</v>
      </c>
      <c r="AX500" s="4">
        <v>19</v>
      </c>
      <c r="AY500" s="2" t="s">
        <v>9178</v>
      </c>
      <c r="AZ500" s="2" t="s">
        <v>92</v>
      </c>
      <c r="BA500" s="2" t="s">
        <v>9179</v>
      </c>
      <c r="BB500" s="2" t="s">
        <v>9180</v>
      </c>
      <c r="BC500" s="2" t="s">
        <v>86</v>
      </c>
      <c r="BD500" s="2" t="s">
        <v>86</v>
      </c>
      <c r="BE500" s="2" t="s">
        <v>86</v>
      </c>
      <c r="BF500" s="2" t="s">
        <v>86</v>
      </c>
      <c r="BG500" s="2" t="s">
        <v>95</v>
      </c>
      <c r="BH500" s="2" t="s">
        <v>9181</v>
      </c>
      <c r="BI500" s="2" t="str">
        <f>HYPERLINK("https%3A%2F%2Fwww.webofscience.com%2Fwos%2Fwoscc%2Ffull-record%2FWOS:000801975600002","View Full Record in Web of Science")</f>
        <v>View Full Record in Web of Science</v>
      </c>
    </row>
    <row r="501" spans="1:61" customFormat="1" ht="12.75" x14ac:dyDescent="0.2">
      <c r="A501" s="1">
        <v>498</v>
      </c>
      <c r="B501" s="1" t="s">
        <v>1068</v>
      </c>
      <c r="C501" s="1" t="s">
        <v>9182</v>
      </c>
      <c r="D501" s="2" t="s">
        <v>9183</v>
      </c>
      <c r="E501" s="2" t="s">
        <v>86</v>
      </c>
      <c r="F501" s="2" t="s">
        <v>86</v>
      </c>
      <c r="G501" s="2" t="s">
        <v>200</v>
      </c>
      <c r="H501" s="2" t="s">
        <v>9184</v>
      </c>
      <c r="I501" s="2" t="s">
        <v>9185</v>
      </c>
      <c r="J501" s="2" t="s">
        <v>9186</v>
      </c>
      <c r="K501" s="2" t="s">
        <v>68</v>
      </c>
      <c r="L501" s="2" t="s">
        <v>9187</v>
      </c>
      <c r="M501" s="2" t="s">
        <v>86</v>
      </c>
      <c r="N501" s="2" t="s">
        <v>9188</v>
      </c>
      <c r="O501" s="2" t="s">
        <v>9189</v>
      </c>
      <c r="P501" s="2" t="s">
        <v>9190</v>
      </c>
      <c r="Q501" s="2" t="s">
        <v>9191</v>
      </c>
      <c r="R501" s="2" t="s">
        <v>9192</v>
      </c>
      <c r="S501" s="2" t="s">
        <v>9193</v>
      </c>
      <c r="T501" s="2" t="s">
        <v>86</v>
      </c>
      <c r="U501" s="2" t="s">
        <v>86</v>
      </c>
      <c r="V501" s="2" t="s">
        <v>86</v>
      </c>
      <c r="W501" s="2" t="s">
        <v>80</v>
      </c>
      <c r="X501" s="4">
        <v>19</v>
      </c>
      <c r="Y501" s="4">
        <v>5</v>
      </c>
      <c r="Z501" s="4">
        <v>5</v>
      </c>
      <c r="AA501" s="4">
        <v>0</v>
      </c>
      <c r="AB501" s="4">
        <v>9</v>
      </c>
      <c r="AC501" s="2" t="s">
        <v>9194</v>
      </c>
      <c r="AD501" s="2" t="s">
        <v>9195</v>
      </c>
      <c r="AE501" s="2" t="s">
        <v>9196</v>
      </c>
      <c r="AF501" s="2" t="s">
        <v>9197</v>
      </c>
      <c r="AG501" s="2" t="s">
        <v>9198</v>
      </c>
      <c r="AH501" s="2" t="s">
        <v>86</v>
      </c>
      <c r="AI501" s="2" t="s">
        <v>9199</v>
      </c>
      <c r="AJ501" s="2" t="s">
        <v>9200</v>
      </c>
      <c r="AK501" s="2" t="s">
        <v>86</v>
      </c>
      <c r="AL501" s="4">
        <v>2015</v>
      </c>
      <c r="AM501" s="4">
        <v>58</v>
      </c>
      <c r="AN501" s="2" t="s">
        <v>86</v>
      </c>
      <c r="AO501" s="2" t="s">
        <v>86</v>
      </c>
      <c r="AP501" s="2" t="s">
        <v>86</v>
      </c>
      <c r="AQ501" s="2" t="s">
        <v>86</v>
      </c>
      <c r="AR501" s="2" t="s">
        <v>86</v>
      </c>
      <c r="AS501" s="4">
        <v>205</v>
      </c>
      <c r="AT501" s="4">
        <v>208</v>
      </c>
      <c r="AU501" s="2" t="s">
        <v>86</v>
      </c>
      <c r="AV501" s="2" t="s">
        <v>86</v>
      </c>
      <c r="AW501" s="2" t="s">
        <v>86</v>
      </c>
      <c r="AX501" s="4">
        <v>4</v>
      </c>
      <c r="AY501" s="2" t="s">
        <v>4718</v>
      </c>
      <c r="AZ501" s="2" t="s">
        <v>171</v>
      </c>
      <c r="BA501" s="2" t="s">
        <v>4719</v>
      </c>
      <c r="BB501" s="2" t="s">
        <v>9201</v>
      </c>
      <c r="BC501" s="2" t="s">
        <v>86</v>
      </c>
      <c r="BD501" s="2" t="s">
        <v>86</v>
      </c>
      <c r="BE501" s="2" t="s">
        <v>86</v>
      </c>
      <c r="BF501" s="2" t="s">
        <v>86</v>
      </c>
      <c r="BG501" s="2" t="s">
        <v>95</v>
      </c>
      <c r="BH501" s="2" t="s">
        <v>9202</v>
      </c>
      <c r="BI501" s="2" t="str">
        <f>HYPERLINK("https%3A%2F%2Fwww.webofscience.com%2Fwos%2Fwoscc%2Ffull-record%2FWOS:000416371900034","View Full Record in Web of Science")</f>
        <v>View Full Record in Web of Science</v>
      </c>
    </row>
    <row r="502" spans="1:61" customFormat="1" ht="12.75" x14ac:dyDescent="0.2">
      <c r="A502" s="1">
        <v>499</v>
      </c>
      <c r="B502" s="1" t="s">
        <v>1068</v>
      </c>
      <c r="C502" s="1" t="s">
        <v>9203</v>
      </c>
      <c r="D502" s="2" t="s">
        <v>9204</v>
      </c>
      <c r="E502" s="2" t="s">
        <v>9205</v>
      </c>
      <c r="F502" s="3" t="str">
        <f>HYPERLINK("http://dx.doi.org/10.1016/j.conbuildmat.2022.129805","http://dx.doi.org/10.1016/j.conbuildmat.2022.129805")</f>
        <v>http://dx.doi.org/10.1016/j.conbuildmat.2022.129805</v>
      </c>
      <c r="G502" s="2" t="s">
        <v>200</v>
      </c>
      <c r="H502" s="2" t="s">
        <v>9206</v>
      </c>
      <c r="I502" s="2" t="s">
        <v>9207</v>
      </c>
      <c r="J502" s="2" t="s">
        <v>4425</v>
      </c>
      <c r="K502" s="2" t="s">
        <v>68</v>
      </c>
      <c r="L502" s="2" t="s">
        <v>9208</v>
      </c>
      <c r="M502" s="2" t="s">
        <v>9209</v>
      </c>
      <c r="N502" s="2" t="s">
        <v>9210</v>
      </c>
      <c r="O502" s="2" t="s">
        <v>9211</v>
      </c>
      <c r="P502" s="2" t="s">
        <v>9212</v>
      </c>
      <c r="Q502" s="2" t="s">
        <v>9213</v>
      </c>
      <c r="R502" s="2" t="s">
        <v>9214</v>
      </c>
      <c r="S502" s="2" t="s">
        <v>9215</v>
      </c>
      <c r="T502" s="2" t="s">
        <v>86</v>
      </c>
      <c r="U502" s="2" t="s">
        <v>86</v>
      </c>
      <c r="V502" s="2" t="s">
        <v>86</v>
      </c>
      <c r="W502" s="2" t="s">
        <v>80</v>
      </c>
      <c r="X502" s="4">
        <v>59</v>
      </c>
      <c r="Y502" s="4">
        <v>5</v>
      </c>
      <c r="Z502" s="4">
        <v>5</v>
      </c>
      <c r="AA502" s="4">
        <v>11</v>
      </c>
      <c r="AB502" s="4">
        <v>12</v>
      </c>
      <c r="AC502" s="2" t="s">
        <v>114</v>
      </c>
      <c r="AD502" s="2" t="s">
        <v>115</v>
      </c>
      <c r="AE502" s="2" t="s">
        <v>116</v>
      </c>
      <c r="AF502" s="2" t="s">
        <v>4436</v>
      </c>
      <c r="AG502" s="2" t="s">
        <v>4437</v>
      </c>
      <c r="AH502" s="2" t="s">
        <v>86</v>
      </c>
      <c r="AI502" s="2" t="s">
        <v>4438</v>
      </c>
      <c r="AJ502" s="2" t="s">
        <v>4439</v>
      </c>
      <c r="AK502" s="2" t="s">
        <v>9216</v>
      </c>
      <c r="AL502" s="4">
        <v>2023</v>
      </c>
      <c r="AM502" s="4">
        <v>363</v>
      </c>
      <c r="AN502" s="2" t="s">
        <v>86</v>
      </c>
      <c r="AO502" s="2" t="s">
        <v>86</v>
      </c>
      <c r="AP502" s="2" t="s">
        <v>86</v>
      </c>
      <c r="AQ502" s="2" t="s">
        <v>86</v>
      </c>
      <c r="AR502" s="2" t="s">
        <v>86</v>
      </c>
      <c r="AS502" s="2" t="s">
        <v>86</v>
      </c>
      <c r="AT502" s="2" t="s">
        <v>86</v>
      </c>
      <c r="AU502" s="4">
        <v>129805</v>
      </c>
      <c r="AV502" s="2" t="s">
        <v>86</v>
      </c>
      <c r="AW502" s="2" t="s">
        <v>1911</v>
      </c>
      <c r="AX502" s="4">
        <v>19</v>
      </c>
      <c r="AY502" s="2" t="s">
        <v>4441</v>
      </c>
      <c r="AZ502" s="2" t="s">
        <v>92</v>
      </c>
      <c r="BA502" s="2" t="s">
        <v>4442</v>
      </c>
      <c r="BB502" s="2" t="s">
        <v>9217</v>
      </c>
      <c r="BC502" s="2" t="s">
        <v>86</v>
      </c>
      <c r="BD502" s="2" t="s">
        <v>86</v>
      </c>
      <c r="BE502" s="2" t="s">
        <v>86</v>
      </c>
      <c r="BF502" s="2" t="s">
        <v>86</v>
      </c>
      <c r="BG502" s="2" t="s">
        <v>95</v>
      </c>
      <c r="BH502" s="2" t="s">
        <v>9218</v>
      </c>
      <c r="BI502" s="2" t="str">
        <f>HYPERLINK("https%3A%2F%2Fwww.webofscience.com%2Fwos%2Fwoscc%2Ffull-record%2FWOS:000896950200002","View Full Record in Web of Science")</f>
        <v>View Full Record in Web of Science</v>
      </c>
    </row>
    <row r="503" spans="1:61" customFormat="1" ht="12.75" x14ac:dyDescent="0.2">
      <c r="A503" s="1">
        <v>500</v>
      </c>
      <c r="B503" s="1" t="s">
        <v>1068</v>
      </c>
      <c r="C503" s="1" t="s">
        <v>9219</v>
      </c>
      <c r="D503" s="2" t="s">
        <v>9220</v>
      </c>
      <c r="E503" s="2" t="s">
        <v>9221</v>
      </c>
      <c r="F503" s="3" t="str">
        <f>HYPERLINK("http://dx.doi.org/10.1007/s11676-018-0702-x","http://dx.doi.org/10.1007/s11676-018-0702-x")</f>
        <v>http://dx.doi.org/10.1007/s11676-018-0702-x</v>
      </c>
      <c r="G503" s="2" t="s">
        <v>200</v>
      </c>
      <c r="H503" s="2" t="s">
        <v>9222</v>
      </c>
      <c r="I503" s="2" t="s">
        <v>9223</v>
      </c>
      <c r="J503" s="2" t="s">
        <v>9224</v>
      </c>
      <c r="K503" s="2" t="s">
        <v>68</v>
      </c>
      <c r="L503" s="2" t="s">
        <v>9225</v>
      </c>
      <c r="M503" s="2" t="s">
        <v>9226</v>
      </c>
      <c r="N503" s="2" t="s">
        <v>9227</v>
      </c>
      <c r="O503" s="2" t="s">
        <v>9228</v>
      </c>
      <c r="P503" s="2" t="s">
        <v>9229</v>
      </c>
      <c r="Q503" s="2" t="s">
        <v>9230</v>
      </c>
      <c r="R503" s="2" t="s">
        <v>9231</v>
      </c>
      <c r="S503" s="2" t="s">
        <v>9232</v>
      </c>
      <c r="T503" s="2" t="s">
        <v>9233</v>
      </c>
      <c r="U503" s="2" t="s">
        <v>434</v>
      </c>
      <c r="V503" s="2" t="s">
        <v>9234</v>
      </c>
      <c r="W503" s="2" t="s">
        <v>80</v>
      </c>
      <c r="X503" s="4">
        <v>59</v>
      </c>
      <c r="Y503" s="4">
        <v>14</v>
      </c>
      <c r="Z503" s="4">
        <v>16</v>
      </c>
      <c r="AA503" s="4">
        <v>1</v>
      </c>
      <c r="AB503" s="4">
        <v>13</v>
      </c>
      <c r="AC503" s="2" t="s">
        <v>9235</v>
      </c>
      <c r="AD503" s="2" t="s">
        <v>9236</v>
      </c>
      <c r="AE503" s="2" t="s">
        <v>9237</v>
      </c>
      <c r="AF503" s="2" t="s">
        <v>9238</v>
      </c>
      <c r="AG503" s="2" t="s">
        <v>9239</v>
      </c>
      <c r="AH503" s="2" t="s">
        <v>86</v>
      </c>
      <c r="AI503" s="2" t="s">
        <v>9240</v>
      </c>
      <c r="AJ503" s="2" t="s">
        <v>9241</v>
      </c>
      <c r="AK503" s="2" t="s">
        <v>89</v>
      </c>
      <c r="AL503" s="4">
        <v>2019</v>
      </c>
      <c r="AM503" s="4">
        <v>30</v>
      </c>
      <c r="AN503" s="4">
        <v>2</v>
      </c>
      <c r="AO503" s="2" t="s">
        <v>86</v>
      </c>
      <c r="AP503" s="2" t="s">
        <v>86</v>
      </c>
      <c r="AQ503" s="2" t="s">
        <v>86</v>
      </c>
      <c r="AR503" s="2" t="s">
        <v>86</v>
      </c>
      <c r="AS503" s="4">
        <v>577</v>
      </c>
      <c r="AT503" s="4">
        <v>587</v>
      </c>
      <c r="AU503" s="2" t="s">
        <v>86</v>
      </c>
      <c r="AV503" s="2" t="s">
        <v>86</v>
      </c>
      <c r="AW503" s="2" t="s">
        <v>86</v>
      </c>
      <c r="AX503" s="4">
        <v>11</v>
      </c>
      <c r="AY503" s="2" t="s">
        <v>9242</v>
      </c>
      <c r="AZ503" s="2" t="s">
        <v>92</v>
      </c>
      <c r="BA503" s="2" t="s">
        <v>9242</v>
      </c>
      <c r="BB503" s="2" t="s">
        <v>9243</v>
      </c>
      <c r="BC503" s="2" t="s">
        <v>86</v>
      </c>
      <c r="BD503" s="2" t="s">
        <v>1491</v>
      </c>
      <c r="BE503" s="2" t="s">
        <v>86</v>
      </c>
      <c r="BF503" s="2" t="s">
        <v>86</v>
      </c>
      <c r="BG503" s="2" t="s">
        <v>95</v>
      </c>
      <c r="BH503" s="2" t="s">
        <v>9244</v>
      </c>
      <c r="BI503" s="2" t="str">
        <f>HYPERLINK("https%3A%2F%2Fwww.webofscience.com%2Fwos%2Fwoscc%2Ffull-record%2FWOS:000460003900020","View Full Record in Web of Science")</f>
        <v>View Full Record in Web of Science</v>
      </c>
    </row>
    <row r="504" spans="1:61" customFormat="1" ht="12.75" x14ac:dyDescent="0.2">
      <c r="A504" s="1">
        <v>501</v>
      </c>
      <c r="B504" s="1" t="s">
        <v>1068</v>
      </c>
      <c r="C504" s="1" t="s">
        <v>9245</v>
      </c>
      <c r="D504" s="2" t="s">
        <v>9246</v>
      </c>
      <c r="E504" s="2" t="s">
        <v>9247</v>
      </c>
      <c r="F504" s="3" t="str">
        <f>HYPERLINK("http://dx.doi.org/10.1002/pc.24787","http://dx.doi.org/10.1002/pc.24787")</f>
        <v>http://dx.doi.org/10.1002/pc.24787</v>
      </c>
      <c r="G504" s="2" t="s">
        <v>200</v>
      </c>
      <c r="H504" s="2" t="s">
        <v>9248</v>
      </c>
      <c r="I504" s="2" t="s">
        <v>9249</v>
      </c>
      <c r="J504" s="2" t="s">
        <v>4949</v>
      </c>
      <c r="K504" s="2" t="s">
        <v>68</v>
      </c>
      <c r="L504" s="2" t="s">
        <v>86</v>
      </c>
      <c r="M504" s="2" t="s">
        <v>9250</v>
      </c>
      <c r="N504" s="2" t="s">
        <v>9251</v>
      </c>
      <c r="O504" s="2" t="s">
        <v>9252</v>
      </c>
      <c r="P504" s="2" t="s">
        <v>9253</v>
      </c>
      <c r="Q504" s="2" t="s">
        <v>6425</v>
      </c>
      <c r="R504" s="2" t="s">
        <v>9254</v>
      </c>
      <c r="S504" s="2" t="s">
        <v>9255</v>
      </c>
      <c r="T504" s="2" t="s">
        <v>86</v>
      </c>
      <c r="U504" s="2" t="s">
        <v>86</v>
      </c>
      <c r="V504" s="2" t="s">
        <v>86</v>
      </c>
      <c r="W504" s="2" t="s">
        <v>80</v>
      </c>
      <c r="X504" s="4">
        <v>70</v>
      </c>
      <c r="Y504" s="4">
        <v>1</v>
      </c>
      <c r="Z504" s="4">
        <v>1</v>
      </c>
      <c r="AA504" s="4">
        <v>0</v>
      </c>
      <c r="AB504" s="4">
        <v>13</v>
      </c>
      <c r="AC504" s="2" t="s">
        <v>956</v>
      </c>
      <c r="AD504" s="2" t="s">
        <v>957</v>
      </c>
      <c r="AE504" s="2" t="s">
        <v>958</v>
      </c>
      <c r="AF504" s="2" t="s">
        <v>4960</v>
      </c>
      <c r="AG504" s="2" t="s">
        <v>4961</v>
      </c>
      <c r="AH504" s="2" t="s">
        <v>86</v>
      </c>
      <c r="AI504" s="2" t="s">
        <v>4962</v>
      </c>
      <c r="AJ504" s="2" t="s">
        <v>4963</v>
      </c>
      <c r="AK504" s="2" t="s">
        <v>366</v>
      </c>
      <c r="AL504" s="4">
        <v>2019</v>
      </c>
      <c r="AM504" s="4">
        <v>40</v>
      </c>
      <c r="AN504" s="4">
        <v>3</v>
      </c>
      <c r="AO504" s="2" t="s">
        <v>86</v>
      </c>
      <c r="AP504" s="2" t="s">
        <v>86</v>
      </c>
      <c r="AQ504" s="2" t="s">
        <v>86</v>
      </c>
      <c r="AR504" s="2" t="s">
        <v>86</v>
      </c>
      <c r="AS504" s="4">
        <v>1018</v>
      </c>
      <c r="AT504" s="4">
        <v>1033</v>
      </c>
      <c r="AU504" s="2" t="s">
        <v>86</v>
      </c>
      <c r="AV504" s="2" t="s">
        <v>86</v>
      </c>
      <c r="AW504" s="2" t="s">
        <v>86</v>
      </c>
      <c r="AX504" s="4">
        <v>16</v>
      </c>
      <c r="AY504" s="2" t="s">
        <v>4964</v>
      </c>
      <c r="AZ504" s="2" t="s">
        <v>92</v>
      </c>
      <c r="BA504" s="2" t="s">
        <v>4304</v>
      </c>
      <c r="BB504" s="2" t="s">
        <v>9256</v>
      </c>
      <c r="BC504" s="2" t="s">
        <v>86</v>
      </c>
      <c r="BD504" s="2" t="s">
        <v>86</v>
      </c>
      <c r="BE504" s="2" t="s">
        <v>86</v>
      </c>
      <c r="BF504" s="2" t="s">
        <v>86</v>
      </c>
      <c r="BG504" s="2" t="s">
        <v>95</v>
      </c>
      <c r="BH504" s="2" t="s">
        <v>9257</v>
      </c>
      <c r="BI504" s="2" t="str">
        <f>HYPERLINK("https%3A%2F%2Fwww.webofscience.com%2Fwos%2Fwoscc%2Ffull-record%2FWOS:000460659700017","View Full Record in Web of Science")</f>
        <v>View Full Record in Web of Science</v>
      </c>
    </row>
    <row r="505" spans="1:61" customFormat="1" ht="12.75" x14ac:dyDescent="0.2">
      <c r="A505" s="1">
        <v>502</v>
      </c>
      <c r="B505" s="1" t="s">
        <v>1068</v>
      </c>
      <c r="C505" s="1" t="s">
        <v>9258</v>
      </c>
      <c r="D505" s="2" t="s">
        <v>9259</v>
      </c>
      <c r="E505" s="2" t="s">
        <v>9260</v>
      </c>
      <c r="F505" s="3" t="str">
        <f>HYPERLINK("http://dx.doi.org/10.1016/j.chemosphere.2022.133974","http://dx.doi.org/10.1016/j.chemosphere.2022.133974")</f>
        <v>http://dx.doi.org/10.1016/j.chemosphere.2022.133974</v>
      </c>
      <c r="G505" s="2" t="s">
        <v>200</v>
      </c>
      <c r="H505" s="2" t="s">
        <v>9261</v>
      </c>
      <c r="I505" s="2" t="s">
        <v>9262</v>
      </c>
      <c r="J505" s="2" t="s">
        <v>227</v>
      </c>
      <c r="K505" s="2" t="s">
        <v>68</v>
      </c>
      <c r="L505" s="2" t="s">
        <v>9263</v>
      </c>
      <c r="M505" s="2" t="s">
        <v>9264</v>
      </c>
      <c r="N505" s="2" t="s">
        <v>9265</v>
      </c>
      <c r="O505" s="2" t="s">
        <v>9266</v>
      </c>
      <c r="P505" s="2" t="s">
        <v>9267</v>
      </c>
      <c r="Q505" s="2" t="s">
        <v>9268</v>
      </c>
      <c r="R505" s="2" t="s">
        <v>9269</v>
      </c>
      <c r="S505" s="2" t="s">
        <v>9270</v>
      </c>
      <c r="T505" s="2" t="s">
        <v>86</v>
      </c>
      <c r="U505" s="2" t="s">
        <v>86</v>
      </c>
      <c r="V505" s="2" t="s">
        <v>86</v>
      </c>
      <c r="W505" s="2" t="s">
        <v>80</v>
      </c>
      <c r="X505" s="4">
        <v>172</v>
      </c>
      <c r="Y505" s="4">
        <v>4</v>
      </c>
      <c r="Z505" s="4">
        <v>4</v>
      </c>
      <c r="AA505" s="4">
        <v>15</v>
      </c>
      <c r="AB505" s="4">
        <v>105</v>
      </c>
      <c r="AC505" s="2" t="s">
        <v>237</v>
      </c>
      <c r="AD505" s="2" t="s">
        <v>115</v>
      </c>
      <c r="AE505" s="2" t="s">
        <v>238</v>
      </c>
      <c r="AF505" s="2" t="s">
        <v>239</v>
      </c>
      <c r="AG505" s="2" t="s">
        <v>240</v>
      </c>
      <c r="AH505" s="2" t="s">
        <v>86</v>
      </c>
      <c r="AI505" s="2" t="s">
        <v>227</v>
      </c>
      <c r="AJ505" s="2" t="s">
        <v>241</v>
      </c>
      <c r="AK505" s="2" t="s">
        <v>342</v>
      </c>
      <c r="AL505" s="4">
        <v>2022</v>
      </c>
      <c r="AM505" s="4">
        <v>296</v>
      </c>
      <c r="AN505" s="2" t="s">
        <v>86</v>
      </c>
      <c r="AO505" s="2" t="s">
        <v>86</v>
      </c>
      <c r="AP505" s="2" t="s">
        <v>86</v>
      </c>
      <c r="AQ505" s="2" t="s">
        <v>86</v>
      </c>
      <c r="AR505" s="2" t="s">
        <v>86</v>
      </c>
      <c r="AS505" s="2" t="s">
        <v>86</v>
      </c>
      <c r="AT505" s="2" t="s">
        <v>86</v>
      </c>
      <c r="AU505" s="4">
        <v>133974</v>
      </c>
      <c r="AV505" s="2" t="s">
        <v>86</v>
      </c>
      <c r="AW505" s="2" t="s">
        <v>2477</v>
      </c>
      <c r="AX505" s="4">
        <v>16</v>
      </c>
      <c r="AY505" s="2" t="s">
        <v>91</v>
      </c>
      <c r="AZ505" s="2" t="s">
        <v>92</v>
      </c>
      <c r="BA505" s="2" t="s">
        <v>93</v>
      </c>
      <c r="BB505" s="2" t="s">
        <v>9271</v>
      </c>
      <c r="BC505" s="4">
        <v>35181423</v>
      </c>
      <c r="BD505" s="2" t="s">
        <v>86</v>
      </c>
      <c r="BE505" s="2" t="s">
        <v>86</v>
      </c>
      <c r="BF505" s="2" t="s">
        <v>86</v>
      </c>
      <c r="BG505" s="2" t="s">
        <v>95</v>
      </c>
      <c r="BH505" s="2" t="s">
        <v>9272</v>
      </c>
      <c r="BI505" s="2" t="str">
        <f>HYPERLINK("https%3A%2F%2Fwww.webofscience.com%2Fwos%2Fwoscc%2Ffull-record%2FWOS:000760221200002","View Full Record in Web of Science")</f>
        <v>View Full Record in Web of Science</v>
      </c>
    </row>
    <row r="506" spans="1:61" customFormat="1" ht="12.75" x14ac:dyDescent="0.2">
      <c r="A506" s="1">
        <v>503</v>
      </c>
      <c r="B506" s="1" t="s">
        <v>1068</v>
      </c>
      <c r="C506" s="1" t="s">
        <v>9273</v>
      </c>
      <c r="D506" s="2" t="s">
        <v>9274</v>
      </c>
      <c r="E506" s="2" t="s">
        <v>9275</v>
      </c>
      <c r="F506" s="3" t="str">
        <f>HYPERLINK("http://dx.doi.org/10.1016/j.ijfatigue.2007.11.002","http://dx.doi.org/10.1016/j.ijfatigue.2007.11.002")</f>
        <v>http://dx.doi.org/10.1016/j.ijfatigue.2007.11.002</v>
      </c>
      <c r="G506" s="2" t="s">
        <v>200</v>
      </c>
      <c r="H506" s="2" t="s">
        <v>9276</v>
      </c>
      <c r="I506" s="2" t="s">
        <v>9277</v>
      </c>
      <c r="J506" s="2" t="s">
        <v>9278</v>
      </c>
      <c r="K506" s="2" t="s">
        <v>68</v>
      </c>
      <c r="L506" s="2" t="s">
        <v>9279</v>
      </c>
      <c r="M506" s="2" t="s">
        <v>9280</v>
      </c>
      <c r="N506" s="2" t="s">
        <v>9281</v>
      </c>
      <c r="O506" s="2" t="s">
        <v>9282</v>
      </c>
      <c r="P506" s="2" t="s">
        <v>9283</v>
      </c>
      <c r="Q506" s="2" t="s">
        <v>4837</v>
      </c>
      <c r="R506" s="2" t="s">
        <v>86</v>
      </c>
      <c r="S506" s="2" t="s">
        <v>9284</v>
      </c>
      <c r="T506" s="2" t="s">
        <v>86</v>
      </c>
      <c r="U506" s="2" t="s">
        <v>86</v>
      </c>
      <c r="V506" s="2" t="s">
        <v>86</v>
      </c>
      <c r="W506" s="2" t="s">
        <v>80</v>
      </c>
      <c r="X506" s="4">
        <v>27</v>
      </c>
      <c r="Y506" s="4">
        <v>32</v>
      </c>
      <c r="Z506" s="4">
        <v>39</v>
      </c>
      <c r="AA506" s="4">
        <v>2</v>
      </c>
      <c r="AB506" s="4">
        <v>17</v>
      </c>
      <c r="AC506" s="2" t="s">
        <v>114</v>
      </c>
      <c r="AD506" s="2" t="s">
        <v>115</v>
      </c>
      <c r="AE506" s="2" t="s">
        <v>116</v>
      </c>
      <c r="AF506" s="2" t="s">
        <v>9285</v>
      </c>
      <c r="AG506" s="2" t="s">
        <v>9286</v>
      </c>
      <c r="AH506" s="2" t="s">
        <v>86</v>
      </c>
      <c r="AI506" s="2" t="s">
        <v>9287</v>
      </c>
      <c r="AJ506" s="2" t="s">
        <v>9288</v>
      </c>
      <c r="AK506" s="2" t="s">
        <v>440</v>
      </c>
      <c r="AL506" s="4">
        <v>2008</v>
      </c>
      <c r="AM506" s="4">
        <v>30</v>
      </c>
      <c r="AN506" s="4">
        <v>9</v>
      </c>
      <c r="AO506" s="2" t="s">
        <v>86</v>
      </c>
      <c r="AP506" s="2" t="s">
        <v>86</v>
      </c>
      <c r="AQ506" s="2" t="s">
        <v>86</v>
      </c>
      <c r="AR506" s="2" t="s">
        <v>86</v>
      </c>
      <c r="AS506" s="4">
        <v>1678</v>
      </c>
      <c r="AT506" s="4">
        <v>1689</v>
      </c>
      <c r="AU506" s="2" t="s">
        <v>86</v>
      </c>
      <c r="AV506" s="2" t="s">
        <v>86</v>
      </c>
      <c r="AW506" s="2" t="s">
        <v>86</v>
      </c>
      <c r="AX506" s="4">
        <v>12</v>
      </c>
      <c r="AY506" s="2" t="s">
        <v>9289</v>
      </c>
      <c r="AZ506" s="2" t="s">
        <v>92</v>
      </c>
      <c r="BA506" s="2" t="s">
        <v>5665</v>
      </c>
      <c r="BB506" s="2" t="s">
        <v>9290</v>
      </c>
      <c r="BC506" s="2" t="s">
        <v>86</v>
      </c>
      <c r="BD506" s="2" t="s">
        <v>1027</v>
      </c>
      <c r="BE506" s="2" t="s">
        <v>86</v>
      </c>
      <c r="BF506" s="2" t="s">
        <v>86</v>
      </c>
      <c r="BG506" s="2" t="s">
        <v>95</v>
      </c>
      <c r="BH506" s="2" t="s">
        <v>9291</v>
      </c>
      <c r="BI506" s="2" t="str">
        <f>HYPERLINK("https%3A%2F%2Fwww.webofscience.com%2Fwos%2Fwoscc%2Ffull-record%2FWOS:000257001700014","View Full Record in Web of Science")</f>
        <v>View Full Record in Web of Science</v>
      </c>
    </row>
    <row r="507" spans="1:61" customFormat="1" ht="12.75" x14ac:dyDescent="0.2">
      <c r="A507" s="1">
        <v>504</v>
      </c>
      <c r="B507" s="1" t="s">
        <v>1068</v>
      </c>
      <c r="C507" s="1" t="s">
        <v>9292</v>
      </c>
      <c r="D507" s="2" t="s">
        <v>9293</v>
      </c>
      <c r="E507" s="2" t="s">
        <v>9294</v>
      </c>
      <c r="F507" s="3" t="str">
        <f>HYPERLINK("http://dx.doi.org/10.1002/pc.20954","http://dx.doi.org/10.1002/pc.20954")</f>
        <v>http://dx.doi.org/10.1002/pc.20954</v>
      </c>
      <c r="G507" s="2" t="s">
        <v>200</v>
      </c>
      <c r="H507" s="2" t="s">
        <v>9295</v>
      </c>
      <c r="I507" s="2" t="s">
        <v>9296</v>
      </c>
      <c r="J507" s="2" t="s">
        <v>4949</v>
      </c>
      <c r="K507" s="2" t="s">
        <v>68</v>
      </c>
      <c r="L507" s="2" t="s">
        <v>86</v>
      </c>
      <c r="M507" s="2" t="s">
        <v>9297</v>
      </c>
      <c r="N507" s="2" t="s">
        <v>9298</v>
      </c>
      <c r="O507" s="2" t="s">
        <v>9299</v>
      </c>
      <c r="P507" s="2" t="s">
        <v>6424</v>
      </c>
      <c r="Q507" s="2" t="s">
        <v>6425</v>
      </c>
      <c r="R507" s="2" t="s">
        <v>9300</v>
      </c>
      <c r="S507" s="2" t="s">
        <v>9301</v>
      </c>
      <c r="T507" s="2" t="s">
        <v>7214</v>
      </c>
      <c r="U507" s="2" t="s">
        <v>7215</v>
      </c>
      <c r="V507" s="2" t="s">
        <v>9302</v>
      </c>
      <c r="W507" s="2" t="s">
        <v>80</v>
      </c>
      <c r="X507" s="4">
        <v>48</v>
      </c>
      <c r="Y507" s="4">
        <v>5</v>
      </c>
      <c r="Z507" s="4">
        <v>5</v>
      </c>
      <c r="AA507" s="4">
        <v>0</v>
      </c>
      <c r="AB507" s="4">
        <v>19</v>
      </c>
      <c r="AC507" s="2" t="s">
        <v>7217</v>
      </c>
      <c r="AD507" s="2" t="s">
        <v>957</v>
      </c>
      <c r="AE507" s="2" t="s">
        <v>7218</v>
      </c>
      <c r="AF507" s="2" t="s">
        <v>4960</v>
      </c>
      <c r="AG507" s="2" t="s">
        <v>86</v>
      </c>
      <c r="AH507" s="2" t="s">
        <v>86</v>
      </c>
      <c r="AI507" s="2" t="s">
        <v>4962</v>
      </c>
      <c r="AJ507" s="2" t="s">
        <v>4963</v>
      </c>
      <c r="AK507" s="2" t="s">
        <v>440</v>
      </c>
      <c r="AL507" s="4">
        <v>2010</v>
      </c>
      <c r="AM507" s="4">
        <v>31</v>
      </c>
      <c r="AN507" s="4">
        <v>9</v>
      </c>
      <c r="AO507" s="2" t="s">
        <v>86</v>
      </c>
      <c r="AP507" s="2" t="s">
        <v>86</v>
      </c>
      <c r="AQ507" s="2" t="s">
        <v>86</v>
      </c>
      <c r="AR507" s="2" t="s">
        <v>86</v>
      </c>
      <c r="AS507" s="4">
        <v>1637</v>
      </c>
      <c r="AT507" s="4">
        <v>1652</v>
      </c>
      <c r="AU507" s="2" t="s">
        <v>86</v>
      </c>
      <c r="AV507" s="2" t="s">
        <v>86</v>
      </c>
      <c r="AW507" s="2" t="s">
        <v>86</v>
      </c>
      <c r="AX507" s="4">
        <v>16</v>
      </c>
      <c r="AY507" s="2" t="s">
        <v>4964</v>
      </c>
      <c r="AZ507" s="2" t="s">
        <v>92</v>
      </c>
      <c r="BA507" s="2" t="s">
        <v>4304</v>
      </c>
      <c r="BB507" s="2" t="s">
        <v>7219</v>
      </c>
      <c r="BC507" s="2" t="s">
        <v>86</v>
      </c>
      <c r="BD507" s="2" t="s">
        <v>86</v>
      </c>
      <c r="BE507" s="2" t="s">
        <v>86</v>
      </c>
      <c r="BF507" s="2" t="s">
        <v>86</v>
      </c>
      <c r="BG507" s="2" t="s">
        <v>95</v>
      </c>
      <c r="BH507" s="2" t="s">
        <v>9303</v>
      </c>
      <c r="BI507" s="2" t="str">
        <f>HYPERLINK("https%3A%2F%2Fwww.webofscience.com%2Fwos%2Fwoscc%2Ffull-record%2FWOS:000281123900016","View Full Record in Web of Science")</f>
        <v>View Full Record in Web of Science</v>
      </c>
    </row>
    <row r="508" spans="1:61" customFormat="1" ht="12.75" x14ac:dyDescent="0.2">
      <c r="A508" s="1">
        <v>505</v>
      </c>
      <c r="B508" s="1" t="s">
        <v>1068</v>
      </c>
      <c r="C508" s="1" t="s">
        <v>9304</v>
      </c>
      <c r="D508" s="2" t="s">
        <v>9305</v>
      </c>
      <c r="E508" s="2" t="s">
        <v>9306</v>
      </c>
      <c r="F508" s="3" t="str">
        <f>HYPERLINK("http://dx.doi.org/10.1016/j.tust.2020.103722","http://dx.doi.org/10.1016/j.tust.2020.103722")</f>
        <v>http://dx.doi.org/10.1016/j.tust.2020.103722</v>
      </c>
      <c r="G508" s="2" t="s">
        <v>200</v>
      </c>
      <c r="H508" s="2" t="s">
        <v>9307</v>
      </c>
      <c r="I508" s="2" t="s">
        <v>9308</v>
      </c>
      <c r="J508" s="2" t="s">
        <v>9309</v>
      </c>
      <c r="K508" s="2" t="s">
        <v>68</v>
      </c>
      <c r="L508" s="2" t="s">
        <v>9310</v>
      </c>
      <c r="M508" s="2" t="s">
        <v>9311</v>
      </c>
      <c r="N508" s="2" t="s">
        <v>9312</v>
      </c>
      <c r="O508" s="2" t="s">
        <v>9313</v>
      </c>
      <c r="P508" s="2" t="s">
        <v>9314</v>
      </c>
      <c r="Q508" s="2" t="s">
        <v>9315</v>
      </c>
      <c r="R508" s="2" t="s">
        <v>86</v>
      </c>
      <c r="S508" s="2" t="s">
        <v>86</v>
      </c>
      <c r="T508" s="2" t="s">
        <v>9316</v>
      </c>
      <c r="U508" s="2" t="s">
        <v>9316</v>
      </c>
      <c r="V508" s="2" t="s">
        <v>9317</v>
      </c>
      <c r="W508" s="2" t="s">
        <v>80</v>
      </c>
      <c r="X508" s="4">
        <v>59</v>
      </c>
      <c r="Y508" s="4">
        <v>8</v>
      </c>
      <c r="Z508" s="4">
        <v>8</v>
      </c>
      <c r="AA508" s="4">
        <v>1</v>
      </c>
      <c r="AB508" s="4">
        <v>45</v>
      </c>
      <c r="AC508" s="2" t="s">
        <v>237</v>
      </c>
      <c r="AD508" s="2" t="s">
        <v>115</v>
      </c>
      <c r="AE508" s="2" t="s">
        <v>238</v>
      </c>
      <c r="AF508" s="2" t="s">
        <v>9318</v>
      </c>
      <c r="AG508" s="2" t="s">
        <v>9319</v>
      </c>
      <c r="AH508" s="2" t="s">
        <v>86</v>
      </c>
      <c r="AI508" s="2" t="s">
        <v>9320</v>
      </c>
      <c r="AJ508" s="2" t="s">
        <v>9321</v>
      </c>
      <c r="AK508" s="2" t="s">
        <v>146</v>
      </c>
      <c r="AL508" s="4">
        <v>2021</v>
      </c>
      <c r="AM508" s="4">
        <v>108</v>
      </c>
      <c r="AN508" s="2" t="s">
        <v>86</v>
      </c>
      <c r="AO508" s="2" t="s">
        <v>86</v>
      </c>
      <c r="AP508" s="2" t="s">
        <v>86</v>
      </c>
      <c r="AQ508" s="2" t="s">
        <v>86</v>
      </c>
      <c r="AR508" s="2" t="s">
        <v>86</v>
      </c>
      <c r="AS508" s="2" t="s">
        <v>86</v>
      </c>
      <c r="AT508" s="2" t="s">
        <v>86</v>
      </c>
      <c r="AU508" s="4">
        <v>103722</v>
      </c>
      <c r="AV508" s="2" t="s">
        <v>86</v>
      </c>
      <c r="AW508" s="2" t="s">
        <v>86</v>
      </c>
      <c r="AX508" s="4">
        <v>22</v>
      </c>
      <c r="AY508" s="2" t="s">
        <v>7789</v>
      </c>
      <c r="AZ508" s="2" t="s">
        <v>92</v>
      </c>
      <c r="BA508" s="2" t="s">
        <v>7790</v>
      </c>
      <c r="BB508" s="2" t="s">
        <v>9322</v>
      </c>
      <c r="BC508" s="2" t="s">
        <v>86</v>
      </c>
      <c r="BD508" s="2" t="s">
        <v>86</v>
      </c>
      <c r="BE508" s="2" t="s">
        <v>86</v>
      </c>
      <c r="BF508" s="2" t="s">
        <v>86</v>
      </c>
      <c r="BG508" s="2" t="s">
        <v>95</v>
      </c>
      <c r="BH508" s="2" t="s">
        <v>9323</v>
      </c>
      <c r="BI508" s="2" t="str">
        <f>HYPERLINK("https%3A%2F%2Fwww.webofscience.com%2Fwos%2Fwoscc%2Ffull-record%2FWOS:000606466400002","View Full Record in Web of Science")</f>
        <v>View Full Record in Web of Science</v>
      </c>
    </row>
    <row r="509" spans="1:61" customFormat="1" ht="12.75" x14ac:dyDescent="0.2">
      <c r="A509" s="1">
        <v>506</v>
      </c>
      <c r="B509" s="1" t="s">
        <v>1068</v>
      </c>
      <c r="C509" s="1" t="s">
        <v>9324</v>
      </c>
      <c r="D509" s="2" t="s">
        <v>9325</v>
      </c>
      <c r="E509" s="2" t="s">
        <v>9326</v>
      </c>
      <c r="F509" s="3" t="str">
        <f>HYPERLINK("http://dx.doi.org/10.5004/dwt.2023.29357","http://dx.doi.org/10.5004/dwt.2023.29357")</f>
        <v>http://dx.doi.org/10.5004/dwt.2023.29357</v>
      </c>
      <c r="G509" s="2" t="s">
        <v>200</v>
      </c>
      <c r="H509" s="2" t="s">
        <v>9327</v>
      </c>
      <c r="I509" s="2" t="s">
        <v>9328</v>
      </c>
      <c r="J509" s="2" t="s">
        <v>3905</v>
      </c>
      <c r="K509" s="2" t="s">
        <v>68</v>
      </c>
      <c r="L509" s="2" t="s">
        <v>9329</v>
      </c>
      <c r="M509" s="2" t="s">
        <v>9330</v>
      </c>
      <c r="N509" s="2" t="s">
        <v>9331</v>
      </c>
      <c r="O509" s="2" t="s">
        <v>9332</v>
      </c>
      <c r="P509" s="2" t="s">
        <v>9333</v>
      </c>
      <c r="Q509" s="2" t="s">
        <v>9334</v>
      </c>
      <c r="R509" s="2" t="s">
        <v>86</v>
      </c>
      <c r="S509" s="2" t="s">
        <v>86</v>
      </c>
      <c r="T509" s="2" t="s">
        <v>9335</v>
      </c>
      <c r="U509" s="2" t="s">
        <v>9336</v>
      </c>
      <c r="V509" s="2" t="s">
        <v>9337</v>
      </c>
      <c r="W509" s="2" t="s">
        <v>80</v>
      </c>
      <c r="X509" s="4">
        <v>46</v>
      </c>
      <c r="Y509" s="4">
        <v>0</v>
      </c>
      <c r="Z509" s="4">
        <v>0</v>
      </c>
      <c r="AA509" s="4">
        <v>1</v>
      </c>
      <c r="AB509" s="4">
        <v>1</v>
      </c>
      <c r="AC509" s="2" t="s">
        <v>3914</v>
      </c>
      <c r="AD509" s="2" t="s">
        <v>3915</v>
      </c>
      <c r="AE509" s="2" t="s">
        <v>3916</v>
      </c>
      <c r="AF509" s="2" t="s">
        <v>3917</v>
      </c>
      <c r="AG509" s="2" t="s">
        <v>3918</v>
      </c>
      <c r="AH509" s="2" t="s">
        <v>86</v>
      </c>
      <c r="AI509" s="2" t="s">
        <v>3919</v>
      </c>
      <c r="AJ509" s="2" t="s">
        <v>3920</v>
      </c>
      <c r="AK509" s="2" t="s">
        <v>366</v>
      </c>
      <c r="AL509" s="4">
        <v>2023</v>
      </c>
      <c r="AM509" s="4">
        <v>289</v>
      </c>
      <c r="AN509" s="2" t="s">
        <v>86</v>
      </c>
      <c r="AO509" s="2" t="s">
        <v>86</v>
      </c>
      <c r="AP509" s="2" t="s">
        <v>86</v>
      </c>
      <c r="AQ509" s="2" t="s">
        <v>86</v>
      </c>
      <c r="AR509" s="2" t="s">
        <v>86</v>
      </c>
      <c r="AS509" s="4">
        <v>206</v>
      </c>
      <c r="AT509" s="4">
        <v>220</v>
      </c>
      <c r="AU509" s="2" t="s">
        <v>86</v>
      </c>
      <c r="AV509" s="2" t="s">
        <v>86</v>
      </c>
      <c r="AW509" s="2" t="s">
        <v>86</v>
      </c>
      <c r="AX509" s="4">
        <v>15</v>
      </c>
      <c r="AY509" s="2" t="s">
        <v>3921</v>
      </c>
      <c r="AZ509" s="2" t="s">
        <v>92</v>
      </c>
      <c r="BA509" s="2" t="s">
        <v>2578</v>
      </c>
      <c r="BB509" s="2" t="s">
        <v>9338</v>
      </c>
      <c r="BC509" s="2" t="s">
        <v>86</v>
      </c>
      <c r="BD509" s="2" t="s">
        <v>86</v>
      </c>
      <c r="BE509" s="2" t="s">
        <v>86</v>
      </c>
      <c r="BF509" s="2" t="s">
        <v>86</v>
      </c>
      <c r="BG509" s="2" t="s">
        <v>95</v>
      </c>
      <c r="BH509" s="2" t="s">
        <v>9339</v>
      </c>
      <c r="BI509" s="2" t="str">
        <f>HYPERLINK("https%3A%2F%2Fwww.webofscience.com%2Fwos%2Fwoscc%2Ffull-record%2FWOS:000994949200019","View Full Record in Web of Science")</f>
        <v>View Full Record in Web of Science</v>
      </c>
    </row>
    <row r="510" spans="1:61" customFormat="1" ht="12.75" x14ac:dyDescent="0.2">
      <c r="A510" s="1">
        <v>507</v>
      </c>
      <c r="B510" s="1" t="s">
        <v>1068</v>
      </c>
      <c r="C510" s="1" t="s">
        <v>9340</v>
      </c>
      <c r="D510" s="2" t="s">
        <v>9341</v>
      </c>
      <c r="E510" s="2" t="s">
        <v>9342</v>
      </c>
      <c r="F510" s="3" t="str">
        <f>HYPERLINK("http://dx.doi.org/10.1007/s40201-020-00508-6","http://dx.doi.org/10.1007/s40201-020-00508-6")</f>
        <v>http://dx.doi.org/10.1007/s40201-020-00508-6</v>
      </c>
      <c r="G510" s="2" t="s">
        <v>200</v>
      </c>
      <c r="H510" s="2" t="s">
        <v>9343</v>
      </c>
      <c r="I510" s="2" t="s">
        <v>9344</v>
      </c>
      <c r="J510" s="2" t="s">
        <v>9345</v>
      </c>
      <c r="K510" s="2" t="s">
        <v>68</v>
      </c>
      <c r="L510" s="2" t="s">
        <v>9346</v>
      </c>
      <c r="M510" s="2" t="s">
        <v>9347</v>
      </c>
      <c r="N510" s="2" t="s">
        <v>9348</v>
      </c>
      <c r="O510" s="2" t="s">
        <v>9349</v>
      </c>
      <c r="P510" s="2" t="s">
        <v>9350</v>
      </c>
      <c r="Q510" s="2" t="s">
        <v>9351</v>
      </c>
      <c r="R510" s="2" t="s">
        <v>9352</v>
      </c>
      <c r="S510" s="2" t="s">
        <v>9353</v>
      </c>
      <c r="T510" s="2" t="s">
        <v>9354</v>
      </c>
      <c r="U510" s="2" t="s">
        <v>9355</v>
      </c>
      <c r="V510" s="2" t="s">
        <v>9356</v>
      </c>
      <c r="W510" s="2" t="s">
        <v>80</v>
      </c>
      <c r="X510" s="4">
        <v>42</v>
      </c>
      <c r="Y510" s="4">
        <v>13</v>
      </c>
      <c r="Z510" s="4">
        <v>13</v>
      </c>
      <c r="AA510" s="4">
        <v>1</v>
      </c>
      <c r="AB510" s="4">
        <v>7</v>
      </c>
      <c r="AC510" s="2" t="s">
        <v>139</v>
      </c>
      <c r="AD510" s="2" t="s">
        <v>140</v>
      </c>
      <c r="AE510" s="2" t="s">
        <v>141</v>
      </c>
      <c r="AF510" s="2" t="s">
        <v>86</v>
      </c>
      <c r="AG510" s="2" t="s">
        <v>9357</v>
      </c>
      <c r="AH510" s="2" t="s">
        <v>86</v>
      </c>
      <c r="AI510" s="2" t="s">
        <v>9358</v>
      </c>
      <c r="AJ510" s="2" t="s">
        <v>9359</v>
      </c>
      <c r="AK510" s="2" t="s">
        <v>217</v>
      </c>
      <c r="AL510" s="4">
        <v>2020</v>
      </c>
      <c r="AM510" s="4">
        <v>18</v>
      </c>
      <c r="AN510" s="4">
        <v>2</v>
      </c>
      <c r="AO510" s="2" t="s">
        <v>86</v>
      </c>
      <c r="AP510" s="2" t="s">
        <v>86</v>
      </c>
      <c r="AQ510" s="2" t="s">
        <v>86</v>
      </c>
      <c r="AR510" s="2" t="s">
        <v>86</v>
      </c>
      <c r="AS510" s="4">
        <v>853</v>
      </c>
      <c r="AT510" s="4">
        <v>864</v>
      </c>
      <c r="AU510" s="2" t="s">
        <v>86</v>
      </c>
      <c r="AV510" s="2" t="s">
        <v>86</v>
      </c>
      <c r="AW510" s="2" t="s">
        <v>9360</v>
      </c>
      <c r="AX510" s="4">
        <v>12</v>
      </c>
      <c r="AY510" s="2" t="s">
        <v>567</v>
      </c>
      <c r="AZ510" s="2" t="s">
        <v>92</v>
      </c>
      <c r="BA510" s="2" t="s">
        <v>568</v>
      </c>
      <c r="BB510" s="2" t="s">
        <v>9361</v>
      </c>
      <c r="BC510" s="4">
        <v>33312607</v>
      </c>
      <c r="BD510" s="2" t="s">
        <v>877</v>
      </c>
      <c r="BE510" s="2" t="s">
        <v>86</v>
      </c>
      <c r="BF510" s="2" t="s">
        <v>86</v>
      </c>
      <c r="BG510" s="2" t="s">
        <v>95</v>
      </c>
      <c r="BH510" s="2" t="s">
        <v>9362</v>
      </c>
      <c r="BI510" s="2" t="str">
        <f>HYPERLINK("https%3A%2F%2Fwww.webofscience.com%2Fwos%2Fwoscc%2Ffull-record%2FWOS:000546971000001","View Full Record in Web of Science")</f>
        <v>View Full Record in Web of Science</v>
      </c>
    </row>
    <row r="511" spans="1:61" customFormat="1" ht="12.75" x14ac:dyDescent="0.2">
      <c r="A511" s="1">
        <v>508</v>
      </c>
      <c r="B511" s="1" t="s">
        <v>1068</v>
      </c>
      <c r="C511" s="1" t="s">
        <v>9363</v>
      </c>
      <c r="D511" s="2" t="s">
        <v>9364</v>
      </c>
      <c r="E511" s="2" t="s">
        <v>9365</v>
      </c>
      <c r="F511" s="3" t="str">
        <f>HYPERLINK("http://dx.doi.org/10.1016/j.clay.2005.06.001","http://dx.doi.org/10.1016/j.clay.2005.06.001")</f>
        <v>http://dx.doi.org/10.1016/j.clay.2005.06.001</v>
      </c>
      <c r="G511" s="2" t="s">
        <v>200</v>
      </c>
      <c r="H511" s="2" t="s">
        <v>9366</v>
      </c>
      <c r="I511" s="2" t="s">
        <v>9366</v>
      </c>
      <c r="J511" s="2" t="s">
        <v>9367</v>
      </c>
      <c r="K511" s="2" t="s">
        <v>68</v>
      </c>
      <c r="L511" s="2" t="s">
        <v>9368</v>
      </c>
      <c r="M511" s="2" t="s">
        <v>9369</v>
      </c>
      <c r="N511" s="2" t="s">
        <v>9370</v>
      </c>
      <c r="O511" s="2" t="s">
        <v>3149</v>
      </c>
      <c r="P511" s="2" t="s">
        <v>9371</v>
      </c>
      <c r="Q511" s="2" t="s">
        <v>9372</v>
      </c>
      <c r="R511" s="2" t="s">
        <v>9373</v>
      </c>
      <c r="S511" s="2" t="s">
        <v>9374</v>
      </c>
      <c r="T511" s="2" t="s">
        <v>86</v>
      </c>
      <c r="U511" s="2" t="s">
        <v>86</v>
      </c>
      <c r="V511" s="2" t="s">
        <v>86</v>
      </c>
      <c r="W511" s="2" t="s">
        <v>80</v>
      </c>
      <c r="X511" s="4">
        <v>33</v>
      </c>
      <c r="Y511" s="4">
        <v>10</v>
      </c>
      <c r="Z511" s="4">
        <v>10</v>
      </c>
      <c r="AA511" s="4">
        <v>0</v>
      </c>
      <c r="AB511" s="4">
        <v>11</v>
      </c>
      <c r="AC511" s="2" t="s">
        <v>4555</v>
      </c>
      <c r="AD511" s="2" t="s">
        <v>586</v>
      </c>
      <c r="AE511" s="2" t="s">
        <v>4556</v>
      </c>
      <c r="AF511" s="2" t="s">
        <v>9375</v>
      </c>
      <c r="AG511" s="2" t="s">
        <v>9376</v>
      </c>
      <c r="AH511" s="2" t="s">
        <v>86</v>
      </c>
      <c r="AI511" s="2" t="s">
        <v>9377</v>
      </c>
      <c r="AJ511" s="2" t="s">
        <v>9378</v>
      </c>
      <c r="AK511" s="2" t="s">
        <v>121</v>
      </c>
      <c r="AL511" s="4">
        <v>2005</v>
      </c>
      <c r="AM511" s="4">
        <v>30</v>
      </c>
      <c r="AN511" s="2" t="s">
        <v>9379</v>
      </c>
      <c r="AO511" s="2" t="s">
        <v>86</v>
      </c>
      <c r="AP511" s="2" t="s">
        <v>86</v>
      </c>
      <c r="AQ511" s="2" t="s">
        <v>86</v>
      </c>
      <c r="AR511" s="2" t="s">
        <v>86</v>
      </c>
      <c r="AS511" s="4">
        <v>154</v>
      </c>
      <c r="AT511" s="4">
        <v>164</v>
      </c>
      <c r="AU511" s="2" t="s">
        <v>86</v>
      </c>
      <c r="AV511" s="2" t="s">
        <v>86</v>
      </c>
      <c r="AW511" s="2" t="s">
        <v>86</v>
      </c>
      <c r="AX511" s="4">
        <v>11</v>
      </c>
      <c r="AY511" s="2" t="s">
        <v>9380</v>
      </c>
      <c r="AZ511" s="2" t="s">
        <v>92</v>
      </c>
      <c r="BA511" s="2" t="s">
        <v>9381</v>
      </c>
      <c r="BB511" s="2" t="s">
        <v>9382</v>
      </c>
      <c r="BC511" s="2" t="s">
        <v>86</v>
      </c>
      <c r="BD511" s="2" t="s">
        <v>86</v>
      </c>
      <c r="BE511" s="2" t="s">
        <v>86</v>
      </c>
      <c r="BF511" s="2" t="s">
        <v>86</v>
      </c>
      <c r="BG511" s="2" t="s">
        <v>95</v>
      </c>
      <c r="BH511" s="2" t="s">
        <v>9383</v>
      </c>
      <c r="BI511" s="2" t="str">
        <f>HYPERLINK("https%3A%2F%2Fwww.webofscience.com%2Fwos%2Fwoscc%2Ffull-record%2FWOS:000233755800002","View Full Record in Web of Science")</f>
        <v>View Full Record in Web of Science</v>
      </c>
    </row>
    <row r="512" spans="1:61" customFormat="1" ht="12.75" x14ac:dyDescent="0.2">
      <c r="A512" s="1">
        <v>509</v>
      </c>
      <c r="B512" s="1" t="s">
        <v>1068</v>
      </c>
      <c r="C512" s="1" t="s">
        <v>9384</v>
      </c>
      <c r="D512" s="2" t="s">
        <v>9385</v>
      </c>
      <c r="E512" s="2" t="s">
        <v>9386</v>
      </c>
      <c r="F512" s="3" t="str">
        <f>HYPERLINK("http://dx.doi.org/10.1016/j.tsep.2020.100567","http://dx.doi.org/10.1016/j.tsep.2020.100567")</f>
        <v>http://dx.doi.org/10.1016/j.tsep.2020.100567</v>
      </c>
      <c r="G512" s="2" t="s">
        <v>200</v>
      </c>
      <c r="H512" s="2" t="s">
        <v>9387</v>
      </c>
      <c r="I512" s="2" t="s">
        <v>9388</v>
      </c>
      <c r="J512" s="2" t="s">
        <v>9389</v>
      </c>
      <c r="K512" s="2" t="s">
        <v>68</v>
      </c>
      <c r="L512" s="2" t="s">
        <v>9390</v>
      </c>
      <c r="M512" s="2" t="s">
        <v>9391</v>
      </c>
      <c r="N512" s="2" t="s">
        <v>9392</v>
      </c>
      <c r="O512" s="2" t="s">
        <v>9393</v>
      </c>
      <c r="P512" s="2" t="s">
        <v>9394</v>
      </c>
      <c r="Q512" s="2" t="s">
        <v>9395</v>
      </c>
      <c r="R512" s="2" t="s">
        <v>9396</v>
      </c>
      <c r="S512" s="2" t="s">
        <v>9397</v>
      </c>
      <c r="T512" s="2" t="s">
        <v>86</v>
      </c>
      <c r="U512" s="2" t="s">
        <v>86</v>
      </c>
      <c r="V512" s="2" t="s">
        <v>86</v>
      </c>
      <c r="W512" s="2" t="s">
        <v>80</v>
      </c>
      <c r="X512" s="4">
        <v>54</v>
      </c>
      <c r="Y512" s="4">
        <v>16</v>
      </c>
      <c r="Z512" s="4">
        <v>16</v>
      </c>
      <c r="AA512" s="4">
        <v>6</v>
      </c>
      <c r="AB512" s="4">
        <v>25</v>
      </c>
      <c r="AC512" s="2" t="s">
        <v>585</v>
      </c>
      <c r="AD512" s="2" t="s">
        <v>586</v>
      </c>
      <c r="AE512" s="2" t="s">
        <v>587</v>
      </c>
      <c r="AF512" s="2" t="s">
        <v>9398</v>
      </c>
      <c r="AG512" s="2" t="s">
        <v>86</v>
      </c>
      <c r="AH512" s="2" t="s">
        <v>86</v>
      </c>
      <c r="AI512" s="2" t="s">
        <v>9399</v>
      </c>
      <c r="AJ512" s="2" t="s">
        <v>9400</v>
      </c>
      <c r="AK512" s="2" t="s">
        <v>592</v>
      </c>
      <c r="AL512" s="4">
        <v>2020</v>
      </c>
      <c r="AM512" s="4">
        <v>18</v>
      </c>
      <c r="AN512" s="2" t="s">
        <v>86</v>
      </c>
      <c r="AO512" s="2" t="s">
        <v>86</v>
      </c>
      <c r="AP512" s="2" t="s">
        <v>86</v>
      </c>
      <c r="AQ512" s="2" t="s">
        <v>86</v>
      </c>
      <c r="AR512" s="2" t="s">
        <v>86</v>
      </c>
      <c r="AS512" s="2" t="s">
        <v>86</v>
      </c>
      <c r="AT512" s="2" t="s">
        <v>86</v>
      </c>
      <c r="AU512" s="4">
        <v>100567</v>
      </c>
      <c r="AV512" s="2" t="s">
        <v>86</v>
      </c>
      <c r="AW512" s="2" t="s">
        <v>86</v>
      </c>
      <c r="AX512" s="4">
        <v>10</v>
      </c>
      <c r="AY512" s="2" t="s">
        <v>9401</v>
      </c>
      <c r="AZ512" s="2" t="s">
        <v>92</v>
      </c>
      <c r="BA512" s="2" t="s">
        <v>9402</v>
      </c>
      <c r="BB512" s="2" t="s">
        <v>9403</v>
      </c>
      <c r="BC512" s="2" t="s">
        <v>86</v>
      </c>
      <c r="BD512" s="2" t="s">
        <v>86</v>
      </c>
      <c r="BE512" s="2" t="s">
        <v>86</v>
      </c>
      <c r="BF512" s="2" t="s">
        <v>86</v>
      </c>
      <c r="BG512" s="2" t="s">
        <v>95</v>
      </c>
      <c r="BH512" s="2" t="s">
        <v>9404</v>
      </c>
      <c r="BI512" s="2" t="str">
        <f>HYPERLINK("https%3A%2F%2Fwww.webofscience.com%2Fwos%2Fwoscc%2Ffull-record%2FWOS:000621593000049","View Full Record in Web of Science")</f>
        <v>View Full Record in Web of Science</v>
      </c>
    </row>
    <row r="513" spans="1:61" customFormat="1" ht="12.75" x14ac:dyDescent="0.2">
      <c r="A513" s="1">
        <v>510</v>
      </c>
      <c r="B513" s="1" t="s">
        <v>1068</v>
      </c>
      <c r="C513" s="1" t="s">
        <v>9405</v>
      </c>
      <c r="D513" s="2" t="s">
        <v>9406</v>
      </c>
      <c r="E513" s="2" t="s">
        <v>9407</v>
      </c>
      <c r="F513" s="3" t="str">
        <f>HYPERLINK("http://dx.doi.org/10.1002/pen.25064","http://dx.doi.org/10.1002/pen.25064")</f>
        <v>http://dx.doi.org/10.1002/pen.25064</v>
      </c>
      <c r="G513" s="2" t="s">
        <v>200</v>
      </c>
      <c r="H513" s="2" t="s">
        <v>9408</v>
      </c>
      <c r="I513" s="2" t="s">
        <v>9409</v>
      </c>
      <c r="J513" s="2" t="s">
        <v>5054</v>
      </c>
      <c r="K513" s="2" t="s">
        <v>68</v>
      </c>
      <c r="L513" s="2" t="s">
        <v>86</v>
      </c>
      <c r="M513" s="2" t="s">
        <v>9410</v>
      </c>
      <c r="N513" s="2" t="s">
        <v>9411</v>
      </c>
      <c r="O513" s="2" t="s">
        <v>9412</v>
      </c>
      <c r="P513" s="2" t="s">
        <v>9413</v>
      </c>
      <c r="Q513" s="2" t="s">
        <v>9414</v>
      </c>
      <c r="R513" s="2" t="s">
        <v>9415</v>
      </c>
      <c r="S513" s="2" t="s">
        <v>9416</v>
      </c>
      <c r="T513" s="2" t="s">
        <v>9417</v>
      </c>
      <c r="U513" s="2" t="s">
        <v>434</v>
      </c>
      <c r="V513" s="2" t="s">
        <v>9418</v>
      </c>
      <c r="W513" s="2" t="s">
        <v>80</v>
      </c>
      <c r="X513" s="4">
        <v>47</v>
      </c>
      <c r="Y513" s="4">
        <v>12</v>
      </c>
      <c r="Z513" s="4">
        <v>13</v>
      </c>
      <c r="AA513" s="4">
        <v>3</v>
      </c>
      <c r="AB513" s="4">
        <v>32</v>
      </c>
      <c r="AC513" s="2" t="s">
        <v>956</v>
      </c>
      <c r="AD513" s="2" t="s">
        <v>957</v>
      </c>
      <c r="AE513" s="2" t="s">
        <v>958</v>
      </c>
      <c r="AF513" s="2" t="s">
        <v>5061</v>
      </c>
      <c r="AG513" s="2" t="s">
        <v>5062</v>
      </c>
      <c r="AH513" s="2" t="s">
        <v>86</v>
      </c>
      <c r="AI513" s="2" t="s">
        <v>5063</v>
      </c>
      <c r="AJ513" s="2" t="s">
        <v>5064</v>
      </c>
      <c r="AK513" s="2" t="s">
        <v>366</v>
      </c>
      <c r="AL513" s="4">
        <v>2019</v>
      </c>
      <c r="AM513" s="4">
        <v>59</v>
      </c>
      <c r="AN513" s="2" t="s">
        <v>86</v>
      </c>
      <c r="AO513" s="2" t="s">
        <v>86</v>
      </c>
      <c r="AP513" s="2" t="s">
        <v>86</v>
      </c>
      <c r="AQ513" s="4">
        <v>2</v>
      </c>
      <c r="AR513" s="2" t="s">
        <v>86</v>
      </c>
      <c r="AS513" s="2" t="s">
        <v>9419</v>
      </c>
      <c r="AT513" s="2" t="s">
        <v>9420</v>
      </c>
      <c r="AU513" s="2" t="s">
        <v>86</v>
      </c>
      <c r="AV513" s="2" t="s">
        <v>86</v>
      </c>
      <c r="AW513" s="2" t="s">
        <v>86</v>
      </c>
      <c r="AX513" s="4">
        <v>11</v>
      </c>
      <c r="AY513" s="2" t="s">
        <v>5065</v>
      </c>
      <c r="AZ513" s="2" t="s">
        <v>92</v>
      </c>
      <c r="BA513" s="2" t="s">
        <v>5066</v>
      </c>
      <c r="BB513" s="2" t="s">
        <v>9421</v>
      </c>
      <c r="BC513" s="2" t="s">
        <v>86</v>
      </c>
      <c r="BD513" s="2" t="s">
        <v>86</v>
      </c>
      <c r="BE513" s="2" t="s">
        <v>86</v>
      </c>
      <c r="BF513" s="2" t="s">
        <v>86</v>
      </c>
      <c r="BG513" s="2" t="s">
        <v>95</v>
      </c>
      <c r="BH513" s="2" t="s">
        <v>9422</v>
      </c>
      <c r="BI513" s="2" t="str">
        <f>HYPERLINK("https%3A%2F%2Fwww.webofscience.com%2Fwos%2Fwoscc%2Ffull-record%2FWOS:000460662200036","View Full Record in Web of Science")</f>
        <v>View Full Record in Web of Science</v>
      </c>
    </row>
    <row r="514" spans="1:61" customFormat="1" ht="12.75" x14ac:dyDescent="0.2">
      <c r="A514" s="1">
        <v>511</v>
      </c>
      <c r="B514" s="1" t="s">
        <v>1068</v>
      </c>
      <c r="C514" s="1" t="s">
        <v>9423</v>
      </c>
      <c r="D514" s="2" t="s">
        <v>9424</v>
      </c>
      <c r="E514" s="2" t="s">
        <v>9425</v>
      </c>
      <c r="F514" s="3" t="str">
        <f>HYPERLINK("http://dx.doi.org/10.1007/s10924-017-1029-y","http://dx.doi.org/10.1007/s10924-017-1029-y")</f>
        <v>http://dx.doi.org/10.1007/s10924-017-1029-y</v>
      </c>
      <c r="G514" s="2" t="s">
        <v>200</v>
      </c>
      <c r="H514" s="2" t="s">
        <v>9426</v>
      </c>
      <c r="I514" s="2" t="s">
        <v>9427</v>
      </c>
      <c r="J514" s="2" t="s">
        <v>9428</v>
      </c>
      <c r="K514" s="2" t="s">
        <v>68</v>
      </c>
      <c r="L514" s="2" t="s">
        <v>9429</v>
      </c>
      <c r="M514" s="2" t="s">
        <v>9430</v>
      </c>
      <c r="N514" s="2" t="s">
        <v>9431</v>
      </c>
      <c r="O514" s="2" t="s">
        <v>309</v>
      </c>
      <c r="P514" s="2" t="s">
        <v>9432</v>
      </c>
      <c r="Q514" s="2" t="s">
        <v>9433</v>
      </c>
      <c r="R514" s="2" t="s">
        <v>9434</v>
      </c>
      <c r="S514" s="2" t="s">
        <v>9435</v>
      </c>
      <c r="T514" s="2" t="s">
        <v>9436</v>
      </c>
      <c r="U514" s="2" t="s">
        <v>9437</v>
      </c>
      <c r="V514" s="2" t="s">
        <v>9438</v>
      </c>
      <c r="W514" s="2" t="s">
        <v>80</v>
      </c>
      <c r="X514" s="4">
        <v>51</v>
      </c>
      <c r="Y514" s="4">
        <v>9</v>
      </c>
      <c r="Z514" s="4">
        <v>10</v>
      </c>
      <c r="AA514" s="4">
        <v>1</v>
      </c>
      <c r="AB514" s="4">
        <v>45</v>
      </c>
      <c r="AC514" s="2" t="s">
        <v>139</v>
      </c>
      <c r="AD514" s="2" t="s">
        <v>1355</v>
      </c>
      <c r="AE514" s="2" t="s">
        <v>4512</v>
      </c>
      <c r="AF514" s="2" t="s">
        <v>9439</v>
      </c>
      <c r="AG514" s="2" t="s">
        <v>9440</v>
      </c>
      <c r="AH514" s="2" t="s">
        <v>86</v>
      </c>
      <c r="AI514" s="2" t="s">
        <v>9441</v>
      </c>
      <c r="AJ514" s="2" t="s">
        <v>9442</v>
      </c>
      <c r="AK514" s="2" t="s">
        <v>89</v>
      </c>
      <c r="AL514" s="4">
        <v>2018</v>
      </c>
      <c r="AM514" s="4">
        <v>26</v>
      </c>
      <c r="AN514" s="4">
        <v>4</v>
      </c>
      <c r="AO514" s="2" t="s">
        <v>86</v>
      </c>
      <c r="AP514" s="2" t="s">
        <v>86</v>
      </c>
      <c r="AQ514" s="2" t="s">
        <v>86</v>
      </c>
      <c r="AR514" s="2" t="s">
        <v>86</v>
      </c>
      <c r="AS514" s="4">
        <v>1425</v>
      </c>
      <c r="AT514" s="4">
        <v>1444</v>
      </c>
      <c r="AU514" s="2" t="s">
        <v>86</v>
      </c>
      <c r="AV514" s="2" t="s">
        <v>86</v>
      </c>
      <c r="AW514" s="2" t="s">
        <v>86</v>
      </c>
      <c r="AX514" s="4">
        <v>20</v>
      </c>
      <c r="AY514" s="2" t="s">
        <v>9443</v>
      </c>
      <c r="AZ514" s="2" t="s">
        <v>92</v>
      </c>
      <c r="BA514" s="2" t="s">
        <v>5066</v>
      </c>
      <c r="BB514" s="2" t="s">
        <v>9444</v>
      </c>
      <c r="BC514" s="2" t="s">
        <v>86</v>
      </c>
      <c r="BD514" s="2" t="s">
        <v>86</v>
      </c>
      <c r="BE514" s="2" t="s">
        <v>86</v>
      </c>
      <c r="BF514" s="2" t="s">
        <v>86</v>
      </c>
      <c r="BG514" s="2" t="s">
        <v>95</v>
      </c>
      <c r="BH514" s="2" t="s">
        <v>9445</v>
      </c>
      <c r="BI514" s="2" t="str">
        <f>HYPERLINK("https%3A%2F%2Fwww.webofscience.com%2Fwos%2Fwoscc%2Ffull-record%2FWOS:000427640000011","View Full Record in Web of Science")</f>
        <v>View Full Record in Web of Science</v>
      </c>
    </row>
    <row r="515" spans="1:61" customFormat="1" ht="12.75" x14ac:dyDescent="0.2">
      <c r="A515" s="1">
        <v>512</v>
      </c>
      <c r="B515" s="1" t="s">
        <v>1068</v>
      </c>
      <c r="C515" s="1" t="s">
        <v>9446</v>
      </c>
      <c r="D515" s="2" t="s">
        <v>9447</v>
      </c>
      <c r="E515" s="2" t="s">
        <v>9448</v>
      </c>
      <c r="F515" s="3" t="str">
        <f>HYPERLINK("http://dx.doi.org/10.1017/S0950268807000118","http://dx.doi.org/10.1017/S0950268807000118")</f>
        <v>http://dx.doi.org/10.1017/S0950268807000118</v>
      </c>
      <c r="G515" s="2" t="s">
        <v>200</v>
      </c>
      <c r="H515" s="2" t="s">
        <v>9449</v>
      </c>
      <c r="I515" s="2" t="s">
        <v>9450</v>
      </c>
      <c r="J515" s="2" t="s">
        <v>9451</v>
      </c>
      <c r="K515" s="2" t="s">
        <v>68</v>
      </c>
      <c r="L515" s="2" t="s">
        <v>86</v>
      </c>
      <c r="M515" s="2" t="s">
        <v>9452</v>
      </c>
      <c r="N515" s="2" t="s">
        <v>9453</v>
      </c>
      <c r="O515" s="2" t="s">
        <v>9454</v>
      </c>
      <c r="P515" s="2" t="s">
        <v>9455</v>
      </c>
      <c r="Q515" s="2" t="s">
        <v>9456</v>
      </c>
      <c r="R515" s="2" t="s">
        <v>9457</v>
      </c>
      <c r="S515" s="2" t="s">
        <v>9458</v>
      </c>
      <c r="T515" s="2" t="s">
        <v>86</v>
      </c>
      <c r="U515" s="2" t="s">
        <v>86</v>
      </c>
      <c r="V515" s="2" t="s">
        <v>86</v>
      </c>
      <c r="W515" s="2" t="s">
        <v>80</v>
      </c>
      <c r="X515" s="4">
        <v>16</v>
      </c>
      <c r="Y515" s="4">
        <v>22</v>
      </c>
      <c r="Z515" s="4">
        <v>27</v>
      </c>
      <c r="AA515" s="4">
        <v>0</v>
      </c>
      <c r="AB515" s="4">
        <v>2</v>
      </c>
      <c r="AC515" s="2" t="s">
        <v>9459</v>
      </c>
      <c r="AD515" s="2" t="s">
        <v>1355</v>
      </c>
      <c r="AE515" s="2" t="s">
        <v>9460</v>
      </c>
      <c r="AF515" s="2" t="s">
        <v>9461</v>
      </c>
      <c r="AG515" s="2" t="s">
        <v>9462</v>
      </c>
      <c r="AH515" s="2" t="s">
        <v>86</v>
      </c>
      <c r="AI515" s="2" t="s">
        <v>9463</v>
      </c>
      <c r="AJ515" s="2" t="s">
        <v>9464</v>
      </c>
      <c r="AK515" s="2" t="s">
        <v>873</v>
      </c>
      <c r="AL515" s="4">
        <v>2008</v>
      </c>
      <c r="AM515" s="4">
        <v>136</v>
      </c>
      <c r="AN515" s="4">
        <v>10</v>
      </c>
      <c r="AO515" s="2" t="s">
        <v>86</v>
      </c>
      <c r="AP515" s="2" t="s">
        <v>86</v>
      </c>
      <c r="AQ515" s="2" t="s">
        <v>86</v>
      </c>
      <c r="AR515" s="2" t="s">
        <v>86</v>
      </c>
      <c r="AS515" s="4">
        <v>1425</v>
      </c>
      <c r="AT515" s="4">
        <v>1431</v>
      </c>
      <c r="AU515" s="2" t="s">
        <v>86</v>
      </c>
      <c r="AV515" s="2" t="s">
        <v>86</v>
      </c>
      <c r="AW515" s="2" t="s">
        <v>86</v>
      </c>
      <c r="AX515" s="4">
        <v>7</v>
      </c>
      <c r="AY515" s="2" t="s">
        <v>9465</v>
      </c>
      <c r="AZ515" s="2" t="s">
        <v>92</v>
      </c>
      <c r="BA515" s="2" t="s">
        <v>9465</v>
      </c>
      <c r="BB515" s="2" t="s">
        <v>9466</v>
      </c>
      <c r="BC515" s="4">
        <v>18177517</v>
      </c>
      <c r="BD515" s="2" t="s">
        <v>659</v>
      </c>
      <c r="BE515" s="2" t="s">
        <v>86</v>
      </c>
      <c r="BF515" s="2" t="s">
        <v>86</v>
      </c>
      <c r="BG515" s="2" t="s">
        <v>95</v>
      </c>
      <c r="BH515" s="2" t="s">
        <v>9467</v>
      </c>
      <c r="BI515" s="2" t="str">
        <f>HYPERLINK("https%3A%2F%2Fwww.webofscience.com%2Fwos%2Fwoscc%2Ffull-record%2FWOS:000260579500018","View Full Record in Web of Science")</f>
        <v>View Full Record in Web of Science</v>
      </c>
    </row>
    <row r="516" spans="1:61" customFormat="1" ht="12.75" x14ac:dyDescent="0.2">
      <c r="A516" s="1">
        <v>513</v>
      </c>
      <c r="B516" s="1" t="s">
        <v>1068</v>
      </c>
      <c r="C516" s="1" t="s">
        <v>9468</v>
      </c>
      <c r="D516" s="2" t="s">
        <v>9469</v>
      </c>
      <c r="E516" s="2" t="s">
        <v>9470</v>
      </c>
      <c r="F516" s="3" t="str">
        <f>HYPERLINK("http://dx.doi.org/10.1080/10298436.2022.2046742","http://dx.doi.org/10.1080/10298436.2022.2046742")</f>
        <v>http://dx.doi.org/10.1080/10298436.2022.2046742</v>
      </c>
      <c r="G516" s="2" t="s">
        <v>200</v>
      </c>
      <c r="H516" s="2" t="s">
        <v>9471</v>
      </c>
      <c r="I516" s="2" t="s">
        <v>9472</v>
      </c>
      <c r="J516" s="2" t="s">
        <v>9473</v>
      </c>
      <c r="K516" s="2" t="s">
        <v>68</v>
      </c>
      <c r="L516" s="2" t="s">
        <v>9474</v>
      </c>
      <c r="M516" s="2" t="s">
        <v>9475</v>
      </c>
      <c r="N516" s="2" t="s">
        <v>9476</v>
      </c>
      <c r="O516" s="2" t="s">
        <v>9477</v>
      </c>
      <c r="P516" s="2" t="s">
        <v>9478</v>
      </c>
      <c r="Q516" s="2" t="s">
        <v>9479</v>
      </c>
      <c r="R516" s="2" t="s">
        <v>9480</v>
      </c>
      <c r="S516" s="2" t="s">
        <v>9481</v>
      </c>
      <c r="T516" s="2" t="s">
        <v>9482</v>
      </c>
      <c r="U516" s="2" t="s">
        <v>9483</v>
      </c>
      <c r="V516" s="2" t="s">
        <v>9484</v>
      </c>
      <c r="W516" s="2" t="s">
        <v>80</v>
      </c>
      <c r="X516" s="4">
        <v>63</v>
      </c>
      <c r="Y516" s="4">
        <v>0</v>
      </c>
      <c r="Z516" s="4">
        <v>0</v>
      </c>
      <c r="AA516" s="4">
        <v>4</v>
      </c>
      <c r="AB516" s="4">
        <v>15</v>
      </c>
      <c r="AC516" s="2" t="s">
        <v>286</v>
      </c>
      <c r="AD516" s="2" t="s">
        <v>287</v>
      </c>
      <c r="AE516" s="2" t="s">
        <v>288</v>
      </c>
      <c r="AF516" s="2" t="s">
        <v>9485</v>
      </c>
      <c r="AG516" s="2" t="s">
        <v>9486</v>
      </c>
      <c r="AH516" s="2" t="s">
        <v>86</v>
      </c>
      <c r="AI516" s="2" t="s">
        <v>9487</v>
      </c>
      <c r="AJ516" s="2" t="s">
        <v>9488</v>
      </c>
      <c r="AK516" s="2" t="s">
        <v>5641</v>
      </c>
      <c r="AL516" s="4">
        <v>2022</v>
      </c>
      <c r="AM516" s="4">
        <v>23</v>
      </c>
      <c r="AN516" s="4">
        <v>13</v>
      </c>
      <c r="AO516" s="2" t="s">
        <v>86</v>
      </c>
      <c r="AP516" s="2" t="s">
        <v>86</v>
      </c>
      <c r="AQ516" s="2" t="s">
        <v>86</v>
      </c>
      <c r="AR516" s="2" t="s">
        <v>86</v>
      </c>
      <c r="AS516" s="4">
        <v>4819</v>
      </c>
      <c r="AT516" s="4">
        <v>4830</v>
      </c>
      <c r="AU516" s="2" t="s">
        <v>86</v>
      </c>
      <c r="AV516" s="2" t="s">
        <v>86</v>
      </c>
      <c r="AW516" s="2" t="s">
        <v>1238</v>
      </c>
      <c r="AX516" s="4">
        <v>12</v>
      </c>
      <c r="AY516" s="2" t="s">
        <v>9489</v>
      </c>
      <c r="AZ516" s="2" t="s">
        <v>92</v>
      </c>
      <c r="BA516" s="2" t="s">
        <v>4442</v>
      </c>
      <c r="BB516" s="2" t="s">
        <v>9490</v>
      </c>
      <c r="BC516" s="2" t="s">
        <v>86</v>
      </c>
      <c r="BD516" s="2" t="s">
        <v>86</v>
      </c>
      <c r="BE516" s="2" t="s">
        <v>86</v>
      </c>
      <c r="BF516" s="2" t="s">
        <v>86</v>
      </c>
      <c r="BG516" s="2" t="s">
        <v>95</v>
      </c>
      <c r="BH516" s="2" t="s">
        <v>9491</v>
      </c>
      <c r="BI516" s="2" t="str">
        <f>HYPERLINK("https%3A%2F%2Fwww.webofscience.com%2Fwos%2Fwoscc%2Ffull-record%2FWOS:000768065500001","View Full Record in Web of Science")</f>
        <v>View Full Record in Web of Science</v>
      </c>
    </row>
    <row r="517" spans="1:61" customFormat="1" ht="12.75" x14ac:dyDescent="0.2">
      <c r="A517" s="1">
        <v>514</v>
      </c>
      <c r="B517" s="1" t="s">
        <v>1068</v>
      </c>
      <c r="C517" s="1" t="s">
        <v>9492</v>
      </c>
      <c r="D517" s="2" t="s">
        <v>9493</v>
      </c>
      <c r="E517" s="2" t="s">
        <v>9494</v>
      </c>
      <c r="F517" s="3" t="str">
        <f>HYPERLINK("http://dx.doi.org/10.1016/j.bcab.2020.101662","http://dx.doi.org/10.1016/j.bcab.2020.101662")</f>
        <v>http://dx.doi.org/10.1016/j.bcab.2020.101662</v>
      </c>
      <c r="G517" s="2" t="s">
        <v>61</v>
      </c>
      <c r="H517" s="2" t="s">
        <v>9495</v>
      </c>
      <c r="I517" s="2" t="s">
        <v>9496</v>
      </c>
      <c r="J517" s="2" t="s">
        <v>9497</v>
      </c>
      <c r="K517" s="2" t="s">
        <v>68</v>
      </c>
      <c r="L517" s="2" t="s">
        <v>9498</v>
      </c>
      <c r="M517" s="2" t="s">
        <v>9499</v>
      </c>
      <c r="N517" s="2" t="s">
        <v>9500</v>
      </c>
      <c r="O517" s="2" t="s">
        <v>9501</v>
      </c>
      <c r="P517" s="2" t="s">
        <v>9502</v>
      </c>
      <c r="Q517" s="2" t="s">
        <v>9503</v>
      </c>
      <c r="R517" s="2" t="s">
        <v>9504</v>
      </c>
      <c r="S517" s="2" t="s">
        <v>9505</v>
      </c>
      <c r="T517" s="2" t="s">
        <v>86</v>
      </c>
      <c r="U517" s="2" t="s">
        <v>86</v>
      </c>
      <c r="V517" s="2" t="s">
        <v>86</v>
      </c>
      <c r="W517" s="2" t="s">
        <v>80</v>
      </c>
      <c r="X517" s="4">
        <v>248</v>
      </c>
      <c r="Y517" s="4">
        <v>26</v>
      </c>
      <c r="Z517" s="4">
        <v>27</v>
      </c>
      <c r="AA517" s="4">
        <v>9</v>
      </c>
      <c r="AB517" s="4">
        <v>79</v>
      </c>
      <c r="AC517" s="2" t="s">
        <v>585</v>
      </c>
      <c r="AD517" s="2" t="s">
        <v>586</v>
      </c>
      <c r="AE517" s="2" t="s">
        <v>587</v>
      </c>
      <c r="AF517" s="2" t="s">
        <v>86</v>
      </c>
      <c r="AG517" s="2" t="s">
        <v>9506</v>
      </c>
      <c r="AH517" s="2" t="s">
        <v>86</v>
      </c>
      <c r="AI517" s="2" t="s">
        <v>9507</v>
      </c>
      <c r="AJ517" s="2" t="s">
        <v>9508</v>
      </c>
      <c r="AK517" s="2" t="s">
        <v>636</v>
      </c>
      <c r="AL517" s="4">
        <v>2020</v>
      </c>
      <c r="AM517" s="4">
        <v>27</v>
      </c>
      <c r="AN517" s="2" t="s">
        <v>86</v>
      </c>
      <c r="AO517" s="2" t="s">
        <v>86</v>
      </c>
      <c r="AP517" s="2" t="s">
        <v>86</v>
      </c>
      <c r="AQ517" s="2" t="s">
        <v>86</v>
      </c>
      <c r="AR517" s="2" t="s">
        <v>86</v>
      </c>
      <c r="AS517" s="2" t="s">
        <v>86</v>
      </c>
      <c r="AT517" s="2" t="s">
        <v>86</v>
      </c>
      <c r="AU517" s="4">
        <v>101662</v>
      </c>
      <c r="AV517" s="2" t="s">
        <v>86</v>
      </c>
      <c r="AW517" s="2" t="s">
        <v>86</v>
      </c>
      <c r="AX517" s="4">
        <v>32</v>
      </c>
      <c r="AY517" s="2" t="s">
        <v>9509</v>
      </c>
      <c r="AZ517" s="2" t="s">
        <v>171</v>
      </c>
      <c r="BA517" s="2" t="s">
        <v>9509</v>
      </c>
      <c r="BB517" s="2" t="s">
        <v>9510</v>
      </c>
      <c r="BC517" s="2" t="s">
        <v>86</v>
      </c>
      <c r="BD517" s="2" t="s">
        <v>86</v>
      </c>
      <c r="BE517" s="2" t="s">
        <v>86</v>
      </c>
      <c r="BF517" s="2" t="s">
        <v>86</v>
      </c>
      <c r="BG517" s="2" t="s">
        <v>95</v>
      </c>
      <c r="BH517" s="2" t="s">
        <v>9511</v>
      </c>
      <c r="BI517" s="2" t="str">
        <f>HYPERLINK("https%3A%2F%2Fwww.webofscience.com%2Fwos%2Fwoscc%2Ffull-record%2FWOS:000561870000005","View Full Record in Web of Science")</f>
        <v>View Full Record in Web of Science</v>
      </c>
    </row>
    <row r="518" spans="1:61" customFormat="1" ht="12.75" x14ac:dyDescent="0.2">
      <c r="A518" s="1">
        <v>515</v>
      </c>
      <c r="B518" s="1" t="s">
        <v>1068</v>
      </c>
      <c r="C518" s="1" t="s">
        <v>9512</v>
      </c>
      <c r="D518" s="2" t="s">
        <v>9513</v>
      </c>
      <c r="E518" s="2" t="s">
        <v>9514</v>
      </c>
      <c r="F518" s="3" t="str">
        <f>HYPERLINK("http://dx.doi.org/10.3390/ijms232113517","http://dx.doi.org/10.3390/ijms232113517")</f>
        <v>http://dx.doi.org/10.3390/ijms232113517</v>
      </c>
      <c r="G518" s="2" t="s">
        <v>61</v>
      </c>
      <c r="H518" s="2" t="s">
        <v>9515</v>
      </c>
      <c r="I518" s="2" t="s">
        <v>9516</v>
      </c>
      <c r="J518" s="2" t="s">
        <v>4039</v>
      </c>
      <c r="K518" s="2" t="s">
        <v>68</v>
      </c>
      <c r="L518" s="2" t="s">
        <v>9517</v>
      </c>
      <c r="M518" s="2" t="s">
        <v>9518</v>
      </c>
      <c r="N518" s="2" t="s">
        <v>9519</v>
      </c>
      <c r="O518" s="2" t="s">
        <v>9520</v>
      </c>
      <c r="P518" s="2" t="s">
        <v>9521</v>
      </c>
      <c r="Q518" s="2" t="s">
        <v>9522</v>
      </c>
      <c r="R518" s="2" t="s">
        <v>86</v>
      </c>
      <c r="S518" s="2" t="s">
        <v>9523</v>
      </c>
      <c r="T518" s="2" t="s">
        <v>9524</v>
      </c>
      <c r="U518" s="2" t="s">
        <v>9525</v>
      </c>
      <c r="V518" s="2" t="s">
        <v>9526</v>
      </c>
      <c r="W518" s="2" t="s">
        <v>80</v>
      </c>
      <c r="X518" s="4">
        <v>269</v>
      </c>
      <c r="Y518" s="4">
        <v>0</v>
      </c>
      <c r="Z518" s="4">
        <v>0</v>
      </c>
      <c r="AA518" s="4">
        <v>7</v>
      </c>
      <c r="AB518" s="4">
        <v>22</v>
      </c>
      <c r="AC518" s="2" t="s">
        <v>211</v>
      </c>
      <c r="AD518" s="2" t="s">
        <v>212</v>
      </c>
      <c r="AE518" s="2" t="s">
        <v>213</v>
      </c>
      <c r="AF518" s="2" t="s">
        <v>86</v>
      </c>
      <c r="AG518" s="2" t="s">
        <v>4049</v>
      </c>
      <c r="AH518" s="2" t="s">
        <v>86</v>
      </c>
      <c r="AI518" s="2" t="s">
        <v>4050</v>
      </c>
      <c r="AJ518" s="2" t="s">
        <v>4051</v>
      </c>
      <c r="AK518" s="2" t="s">
        <v>121</v>
      </c>
      <c r="AL518" s="4">
        <v>2022</v>
      </c>
      <c r="AM518" s="4">
        <v>23</v>
      </c>
      <c r="AN518" s="4">
        <v>21</v>
      </c>
      <c r="AO518" s="2" t="s">
        <v>86</v>
      </c>
      <c r="AP518" s="2" t="s">
        <v>86</v>
      </c>
      <c r="AQ518" s="2" t="s">
        <v>86</v>
      </c>
      <c r="AR518" s="2" t="s">
        <v>86</v>
      </c>
      <c r="AS518" s="2" t="s">
        <v>86</v>
      </c>
      <c r="AT518" s="2" t="s">
        <v>86</v>
      </c>
      <c r="AU518" s="4">
        <v>13517</v>
      </c>
      <c r="AV518" s="2" t="s">
        <v>86</v>
      </c>
      <c r="AW518" s="2" t="s">
        <v>86</v>
      </c>
      <c r="AX518" s="4">
        <v>32</v>
      </c>
      <c r="AY518" s="2" t="s">
        <v>4052</v>
      </c>
      <c r="AZ518" s="2" t="s">
        <v>92</v>
      </c>
      <c r="BA518" s="2" t="s">
        <v>4053</v>
      </c>
      <c r="BB518" s="2" t="s">
        <v>9527</v>
      </c>
      <c r="BC518" s="4">
        <v>36362308</v>
      </c>
      <c r="BD518" s="2" t="s">
        <v>723</v>
      </c>
      <c r="BE518" s="2" t="s">
        <v>86</v>
      </c>
      <c r="BF518" s="2" t="s">
        <v>86</v>
      </c>
      <c r="BG518" s="2" t="s">
        <v>95</v>
      </c>
      <c r="BH518" s="2" t="s">
        <v>9528</v>
      </c>
      <c r="BI518" s="2" t="str">
        <f>HYPERLINK("https%3A%2F%2Fwww.webofscience.com%2Fwos%2Fwoscc%2Ffull-record%2FWOS:000881080300001","View Full Record in Web of Science")</f>
        <v>View Full Record in Web of Science</v>
      </c>
    </row>
    <row r="519" spans="1:61" customFormat="1" ht="12.75" x14ac:dyDescent="0.2">
      <c r="A519" s="1">
        <v>516</v>
      </c>
      <c r="B519" s="1" t="s">
        <v>1068</v>
      </c>
      <c r="C519" s="1" t="s">
        <v>9529</v>
      </c>
      <c r="D519" s="2" t="s">
        <v>9530</v>
      </c>
      <c r="E519" s="2" t="s">
        <v>9531</v>
      </c>
      <c r="F519" s="3" t="str">
        <f>HYPERLINK("http://dx.doi.org/10.1016/j.biomaterials.2013.01.016","http://dx.doi.org/10.1016/j.biomaterials.2013.01.016")</f>
        <v>http://dx.doi.org/10.1016/j.biomaterials.2013.01.016</v>
      </c>
      <c r="G519" s="2" t="s">
        <v>200</v>
      </c>
      <c r="H519" s="2" t="s">
        <v>9532</v>
      </c>
      <c r="I519" s="2" t="s">
        <v>9533</v>
      </c>
      <c r="J519" s="2" t="s">
        <v>9534</v>
      </c>
      <c r="K519" s="2" t="s">
        <v>68</v>
      </c>
      <c r="L519" s="2" t="s">
        <v>9535</v>
      </c>
      <c r="M519" s="2" t="s">
        <v>9536</v>
      </c>
      <c r="N519" s="2" t="s">
        <v>9537</v>
      </c>
      <c r="O519" s="2" t="s">
        <v>9538</v>
      </c>
      <c r="P519" s="2" t="s">
        <v>9539</v>
      </c>
      <c r="Q519" s="2" t="s">
        <v>9540</v>
      </c>
      <c r="R519" s="2" t="s">
        <v>9541</v>
      </c>
      <c r="S519" s="2" t="s">
        <v>9542</v>
      </c>
      <c r="T519" s="2" t="s">
        <v>9543</v>
      </c>
      <c r="U519" s="2" t="s">
        <v>9544</v>
      </c>
      <c r="V519" s="2" t="s">
        <v>9545</v>
      </c>
      <c r="W519" s="2" t="s">
        <v>80</v>
      </c>
      <c r="X519" s="4">
        <v>48</v>
      </c>
      <c r="Y519" s="4">
        <v>29</v>
      </c>
      <c r="Z519" s="4">
        <v>32</v>
      </c>
      <c r="AA519" s="4">
        <v>0</v>
      </c>
      <c r="AB519" s="4">
        <v>43</v>
      </c>
      <c r="AC519" s="2" t="s">
        <v>114</v>
      </c>
      <c r="AD519" s="2" t="s">
        <v>115</v>
      </c>
      <c r="AE519" s="2" t="s">
        <v>116</v>
      </c>
      <c r="AF519" s="2" t="s">
        <v>9546</v>
      </c>
      <c r="AG519" s="2" t="s">
        <v>9547</v>
      </c>
      <c r="AH519" s="2" t="s">
        <v>86</v>
      </c>
      <c r="AI519" s="2" t="s">
        <v>9534</v>
      </c>
      <c r="AJ519" s="2" t="s">
        <v>9548</v>
      </c>
      <c r="AK519" s="2" t="s">
        <v>89</v>
      </c>
      <c r="AL519" s="4">
        <v>2013</v>
      </c>
      <c r="AM519" s="4">
        <v>34</v>
      </c>
      <c r="AN519" s="4">
        <v>11</v>
      </c>
      <c r="AO519" s="2" t="s">
        <v>86</v>
      </c>
      <c r="AP519" s="2" t="s">
        <v>86</v>
      </c>
      <c r="AQ519" s="2" t="s">
        <v>86</v>
      </c>
      <c r="AR519" s="2" t="s">
        <v>86</v>
      </c>
      <c r="AS519" s="4">
        <v>2674</v>
      </c>
      <c r="AT519" s="4">
        <v>2682</v>
      </c>
      <c r="AU519" s="2" t="s">
        <v>86</v>
      </c>
      <c r="AV519" s="2" t="s">
        <v>86</v>
      </c>
      <c r="AW519" s="2" t="s">
        <v>86</v>
      </c>
      <c r="AX519" s="4">
        <v>9</v>
      </c>
      <c r="AY519" s="2" t="s">
        <v>9549</v>
      </c>
      <c r="AZ519" s="2" t="s">
        <v>92</v>
      </c>
      <c r="BA519" s="2" t="s">
        <v>5665</v>
      </c>
      <c r="BB519" s="2" t="s">
        <v>9550</v>
      </c>
      <c r="BC519" s="4">
        <v>23352038</v>
      </c>
      <c r="BD519" s="2" t="s">
        <v>86</v>
      </c>
      <c r="BE519" s="2" t="s">
        <v>86</v>
      </c>
      <c r="BF519" s="2" t="s">
        <v>86</v>
      </c>
      <c r="BG519" s="2" t="s">
        <v>95</v>
      </c>
      <c r="BH519" s="2" t="s">
        <v>9551</v>
      </c>
      <c r="BI519" s="2" t="str">
        <f>HYPERLINK("https%3A%2F%2Fwww.webofscience.com%2Fwos%2Fwoscc%2Ffull-record%2FWOS:000315748200010","View Full Record in Web of Science")</f>
        <v>View Full Record in Web of Science</v>
      </c>
    </row>
    <row r="520" spans="1:61" customFormat="1" ht="12.75" x14ac:dyDescent="0.2">
      <c r="A520" s="1">
        <v>517</v>
      </c>
      <c r="B520" s="1" t="s">
        <v>1068</v>
      </c>
      <c r="C520" s="1" t="s">
        <v>9552</v>
      </c>
      <c r="D520" s="2" t="s">
        <v>9553</v>
      </c>
      <c r="E520" s="2" t="s">
        <v>9554</v>
      </c>
      <c r="F520" s="3" t="str">
        <f>HYPERLINK("http://dx.doi.org/10.1603/EC12055","http://dx.doi.org/10.1603/EC12055")</f>
        <v>http://dx.doi.org/10.1603/EC12055</v>
      </c>
      <c r="G520" s="2" t="s">
        <v>200</v>
      </c>
      <c r="H520" s="2" t="s">
        <v>9555</v>
      </c>
      <c r="I520" s="2" t="s">
        <v>9556</v>
      </c>
      <c r="J520" s="2" t="s">
        <v>9557</v>
      </c>
      <c r="K520" s="2" t="s">
        <v>68</v>
      </c>
      <c r="L520" s="2" t="s">
        <v>9558</v>
      </c>
      <c r="M520" s="2" t="s">
        <v>9559</v>
      </c>
      <c r="N520" s="2" t="s">
        <v>9560</v>
      </c>
      <c r="O520" s="2" t="s">
        <v>9561</v>
      </c>
      <c r="P520" s="2" t="s">
        <v>9562</v>
      </c>
      <c r="Q520" s="2" t="s">
        <v>9563</v>
      </c>
      <c r="R520" s="2" t="s">
        <v>9564</v>
      </c>
      <c r="S520" s="2" t="s">
        <v>9565</v>
      </c>
      <c r="T520" s="2" t="s">
        <v>9566</v>
      </c>
      <c r="U520" s="2" t="s">
        <v>9567</v>
      </c>
      <c r="V520" s="2" t="s">
        <v>9568</v>
      </c>
      <c r="W520" s="2" t="s">
        <v>80</v>
      </c>
      <c r="X520" s="4">
        <v>37</v>
      </c>
      <c r="Y520" s="4">
        <v>22</v>
      </c>
      <c r="Z520" s="4">
        <v>23</v>
      </c>
      <c r="AA520" s="4">
        <v>4</v>
      </c>
      <c r="AB520" s="4">
        <v>65</v>
      </c>
      <c r="AC520" s="2" t="s">
        <v>9569</v>
      </c>
      <c r="AD520" s="2" t="s">
        <v>9570</v>
      </c>
      <c r="AE520" s="2" t="s">
        <v>9571</v>
      </c>
      <c r="AF520" s="2" t="s">
        <v>9572</v>
      </c>
      <c r="AG520" s="2" t="s">
        <v>86</v>
      </c>
      <c r="AH520" s="2" t="s">
        <v>86</v>
      </c>
      <c r="AI520" s="2" t="s">
        <v>9573</v>
      </c>
      <c r="AJ520" s="2" t="s">
        <v>9574</v>
      </c>
      <c r="AK520" s="2" t="s">
        <v>217</v>
      </c>
      <c r="AL520" s="4">
        <v>2012</v>
      </c>
      <c r="AM520" s="4">
        <v>105</v>
      </c>
      <c r="AN520" s="4">
        <v>6</v>
      </c>
      <c r="AO520" s="2" t="s">
        <v>86</v>
      </c>
      <c r="AP520" s="2" t="s">
        <v>86</v>
      </c>
      <c r="AQ520" s="2" t="s">
        <v>86</v>
      </c>
      <c r="AR520" s="2" t="s">
        <v>86</v>
      </c>
      <c r="AS520" s="4">
        <v>1890</v>
      </c>
      <c r="AT520" s="4">
        <v>1894</v>
      </c>
      <c r="AU520" s="2" t="s">
        <v>86</v>
      </c>
      <c r="AV520" s="2" t="s">
        <v>86</v>
      </c>
      <c r="AW520" s="2" t="s">
        <v>86</v>
      </c>
      <c r="AX520" s="4">
        <v>5</v>
      </c>
      <c r="AY520" s="2" t="s">
        <v>9575</v>
      </c>
      <c r="AZ520" s="2" t="s">
        <v>92</v>
      </c>
      <c r="BA520" s="2" t="s">
        <v>9575</v>
      </c>
      <c r="BB520" s="2" t="s">
        <v>9576</v>
      </c>
      <c r="BC520" s="4">
        <v>23356050</v>
      </c>
      <c r="BD520" s="2" t="s">
        <v>1491</v>
      </c>
      <c r="BE520" s="2" t="s">
        <v>86</v>
      </c>
      <c r="BF520" s="2" t="s">
        <v>86</v>
      </c>
      <c r="BG520" s="2" t="s">
        <v>95</v>
      </c>
      <c r="BH520" s="2" t="s">
        <v>9577</v>
      </c>
      <c r="BI520" s="2" t="str">
        <f>HYPERLINK("https%3A%2F%2Fwww.webofscience.com%2Fwos%2Fwoscc%2Ffull-record%2FWOS:000312445600003","View Full Record in Web of Science")</f>
        <v>View Full Record in Web of Science</v>
      </c>
    </row>
    <row r="521" spans="1:61" customFormat="1" ht="12.75" x14ac:dyDescent="0.2">
      <c r="A521" s="1">
        <v>518</v>
      </c>
      <c r="B521" s="1" t="s">
        <v>1068</v>
      </c>
      <c r="C521" s="1" t="s">
        <v>9578</v>
      </c>
      <c r="D521" s="2" t="s">
        <v>9579</v>
      </c>
      <c r="E521" s="2" t="s">
        <v>9580</v>
      </c>
      <c r="F521" s="3" t="str">
        <f>HYPERLINK("http://dx.doi.org/10.1016/j.seta.2021.101839","http://dx.doi.org/10.1016/j.seta.2021.101839")</f>
        <v>http://dx.doi.org/10.1016/j.seta.2021.101839</v>
      </c>
      <c r="G521" s="2" t="s">
        <v>200</v>
      </c>
      <c r="H521" s="2" t="s">
        <v>9581</v>
      </c>
      <c r="I521" s="2" t="s">
        <v>9582</v>
      </c>
      <c r="J521" s="2" t="s">
        <v>9583</v>
      </c>
      <c r="K521" s="2" t="s">
        <v>68</v>
      </c>
      <c r="L521" s="2" t="s">
        <v>9584</v>
      </c>
      <c r="M521" s="2" t="s">
        <v>9585</v>
      </c>
      <c r="N521" s="2" t="s">
        <v>9586</v>
      </c>
      <c r="O521" s="2" t="s">
        <v>9587</v>
      </c>
      <c r="P521" s="2" t="s">
        <v>9588</v>
      </c>
      <c r="Q521" s="2" t="s">
        <v>9589</v>
      </c>
      <c r="R521" s="2" t="s">
        <v>9590</v>
      </c>
      <c r="S521" s="2" t="s">
        <v>9591</v>
      </c>
      <c r="T521" s="2" t="s">
        <v>9592</v>
      </c>
      <c r="U521" s="2" t="s">
        <v>9593</v>
      </c>
      <c r="V521" s="2" t="s">
        <v>9594</v>
      </c>
      <c r="W521" s="2" t="s">
        <v>80</v>
      </c>
      <c r="X521" s="4">
        <v>57</v>
      </c>
      <c r="Y521" s="4">
        <v>7</v>
      </c>
      <c r="Z521" s="4">
        <v>7</v>
      </c>
      <c r="AA521" s="4">
        <v>0</v>
      </c>
      <c r="AB521" s="4">
        <v>7</v>
      </c>
      <c r="AC521" s="2" t="s">
        <v>585</v>
      </c>
      <c r="AD521" s="2" t="s">
        <v>586</v>
      </c>
      <c r="AE521" s="2" t="s">
        <v>587</v>
      </c>
      <c r="AF521" s="2" t="s">
        <v>9595</v>
      </c>
      <c r="AG521" s="2" t="s">
        <v>9596</v>
      </c>
      <c r="AH521" s="2" t="s">
        <v>86</v>
      </c>
      <c r="AI521" s="2" t="s">
        <v>9597</v>
      </c>
      <c r="AJ521" s="2" t="s">
        <v>9598</v>
      </c>
      <c r="AK521" s="2" t="s">
        <v>366</v>
      </c>
      <c r="AL521" s="4">
        <v>2022</v>
      </c>
      <c r="AM521" s="4">
        <v>50</v>
      </c>
      <c r="AN521" s="2" t="s">
        <v>86</v>
      </c>
      <c r="AO521" s="2" t="s">
        <v>86</v>
      </c>
      <c r="AP521" s="2" t="s">
        <v>86</v>
      </c>
      <c r="AQ521" s="2" t="s">
        <v>86</v>
      </c>
      <c r="AR521" s="2" t="s">
        <v>86</v>
      </c>
      <c r="AS521" s="2" t="s">
        <v>86</v>
      </c>
      <c r="AT521" s="2" t="s">
        <v>86</v>
      </c>
      <c r="AU521" s="4">
        <v>101839</v>
      </c>
      <c r="AV521" s="2" t="s">
        <v>86</v>
      </c>
      <c r="AW521" s="2" t="s">
        <v>90</v>
      </c>
      <c r="AX521" s="4">
        <v>10</v>
      </c>
      <c r="AY521" s="2" t="s">
        <v>9599</v>
      </c>
      <c r="AZ521" s="2" t="s">
        <v>92</v>
      </c>
      <c r="BA521" s="2" t="s">
        <v>9600</v>
      </c>
      <c r="BB521" s="2" t="s">
        <v>9601</v>
      </c>
      <c r="BC521" s="2" t="s">
        <v>86</v>
      </c>
      <c r="BD521" s="2" t="s">
        <v>86</v>
      </c>
      <c r="BE521" s="2" t="s">
        <v>86</v>
      </c>
      <c r="BF521" s="2" t="s">
        <v>86</v>
      </c>
      <c r="BG521" s="2" t="s">
        <v>95</v>
      </c>
      <c r="BH521" s="2" t="s">
        <v>9602</v>
      </c>
      <c r="BI521" s="2" t="str">
        <f>HYPERLINK("https%3A%2F%2Fwww.webofscience.com%2Fwos%2Fwoscc%2Ffull-record%2FWOS:000734479600005","View Full Record in Web of Science")</f>
        <v>View Full Record in Web of Science</v>
      </c>
    </row>
    <row r="522" spans="1:61" customFormat="1" ht="12.75" x14ac:dyDescent="0.2">
      <c r="A522" s="1">
        <v>519</v>
      </c>
      <c r="B522" s="1" t="s">
        <v>1068</v>
      </c>
      <c r="C522" s="1" t="s">
        <v>9603</v>
      </c>
      <c r="D522" s="2" t="s">
        <v>9604</v>
      </c>
      <c r="E522" s="2" t="s">
        <v>9605</v>
      </c>
      <c r="F522" s="3" t="str">
        <f>HYPERLINK("http://dx.doi.org/10.1038/s41598-019-45307-8","http://dx.doi.org/10.1038/s41598-019-45307-8")</f>
        <v>http://dx.doi.org/10.1038/s41598-019-45307-8</v>
      </c>
      <c r="G522" s="2" t="s">
        <v>200</v>
      </c>
      <c r="H522" s="2" t="s">
        <v>9606</v>
      </c>
      <c r="I522" s="2" t="s">
        <v>9607</v>
      </c>
      <c r="J522" s="2" t="s">
        <v>3063</v>
      </c>
      <c r="K522" s="2" t="s">
        <v>68</v>
      </c>
      <c r="L522" s="2" t="s">
        <v>86</v>
      </c>
      <c r="M522" s="2" t="s">
        <v>9608</v>
      </c>
      <c r="N522" s="2" t="s">
        <v>9609</v>
      </c>
      <c r="O522" s="2" t="s">
        <v>9610</v>
      </c>
      <c r="P522" s="2" t="s">
        <v>9611</v>
      </c>
      <c r="Q522" s="2" t="s">
        <v>9612</v>
      </c>
      <c r="R522" s="2" t="s">
        <v>9613</v>
      </c>
      <c r="S522" s="2" t="s">
        <v>9614</v>
      </c>
      <c r="T522" s="2" t="s">
        <v>9615</v>
      </c>
      <c r="U522" s="2" t="s">
        <v>9616</v>
      </c>
      <c r="V522" s="2" t="s">
        <v>9617</v>
      </c>
      <c r="W522" s="2" t="s">
        <v>80</v>
      </c>
      <c r="X522" s="4">
        <v>51</v>
      </c>
      <c r="Y522" s="4">
        <v>17</v>
      </c>
      <c r="Z522" s="4">
        <v>18</v>
      </c>
      <c r="AA522" s="4">
        <v>1</v>
      </c>
      <c r="AB522" s="4">
        <v>8</v>
      </c>
      <c r="AC522" s="2" t="s">
        <v>3074</v>
      </c>
      <c r="AD522" s="2" t="s">
        <v>605</v>
      </c>
      <c r="AE522" s="2" t="s">
        <v>3075</v>
      </c>
      <c r="AF522" s="2" t="s">
        <v>3076</v>
      </c>
      <c r="AG522" s="2" t="s">
        <v>86</v>
      </c>
      <c r="AH522" s="2" t="s">
        <v>86</v>
      </c>
      <c r="AI522" s="2" t="s">
        <v>3077</v>
      </c>
      <c r="AJ522" s="2" t="s">
        <v>3078</v>
      </c>
      <c r="AK522" s="2" t="s">
        <v>9618</v>
      </c>
      <c r="AL522" s="4">
        <v>2019</v>
      </c>
      <c r="AM522" s="4">
        <v>9</v>
      </c>
      <c r="AN522" s="2" t="s">
        <v>86</v>
      </c>
      <c r="AO522" s="2" t="s">
        <v>86</v>
      </c>
      <c r="AP522" s="2" t="s">
        <v>86</v>
      </c>
      <c r="AQ522" s="2" t="s">
        <v>86</v>
      </c>
      <c r="AR522" s="2" t="s">
        <v>86</v>
      </c>
      <c r="AS522" s="2" t="s">
        <v>86</v>
      </c>
      <c r="AT522" s="2" t="s">
        <v>86</v>
      </c>
      <c r="AU522" s="4">
        <v>9154</v>
      </c>
      <c r="AV522" s="2" t="s">
        <v>86</v>
      </c>
      <c r="AW522" s="2" t="s">
        <v>86</v>
      </c>
      <c r="AX522" s="4">
        <v>13</v>
      </c>
      <c r="AY522" s="2" t="s">
        <v>3080</v>
      </c>
      <c r="AZ522" s="2" t="s">
        <v>92</v>
      </c>
      <c r="BA522" s="2" t="s">
        <v>3081</v>
      </c>
      <c r="BB522" s="2" t="s">
        <v>9619</v>
      </c>
      <c r="BC522" s="4">
        <v>31235878</v>
      </c>
      <c r="BD522" s="2" t="s">
        <v>723</v>
      </c>
      <c r="BE522" s="2" t="s">
        <v>86</v>
      </c>
      <c r="BF522" s="2" t="s">
        <v>86</v>
      </c>
      <c r="BG522" s="2" t="s">
        <v>95</v>
      </c>
      <c r="BH522" s="2" t="s">
        <v>9620</v>
      </c>
      <c r="BI522" s="2" t="str">
        <f>HYPERLINK("https%3A%2F%2Fwww.webofscience.com%2Fwos%2Fwoscc%2Ffull-record%2FWOS:000472597400057","View Full Record in Web of Science")</f>
        <v>View Full Record in Web of Science</v>
      </c>
    </row>
    <row r="523" spans="1:61" customFormat="1" ht="12.75" x14ac:dyDescent="0.2">
      <c r="A523" s="1">
        <v>520</v>
      </c>
      <c r="B523" s="1" t="s">
        <v>1068</v>
      </c>
      <c r="C523" s="1" t="s">
        <v>9621</v>
      </c>
      <c r="D523" s="2" t="s">
        <v>9622</v>
      </c>
      <c r="E523" s="2" t="s">
        <v>9623</v>
      </c>
      <c r="F523" s="3" t="str">
        <f>HYPERLINK("http://dx.doi.org/10.1007/s10853-021-06248-8","http://dx.doi.org/10.1007/s10853-021-06248-8")</f>
        <v>http://dx.doi.org/10.1007/s10853-021-06248-8</v>
      </c>
      <c r="G523" s="2" t="s">
        <v>61</v>
      </c>
      <c r="H523" s="2" t="s">
        <v>9624</v>
      </c>
      <c r="I523" s="2" t="s">
        <v>9625</v>
      </c>
      <c r="J523" s="2" t="s">
        <v>5825</v>
      </c>
      <c r="K523" s="2" t="s">
        <v>68</v>
      </c>
      <c r="L523" s="2" t="s">
        <v>86</v>
      </c>
      <c r="M523" s="2" t="s">
        <v>9626</v>
      </c>
      <c r="N523" s="2" t="s">
        <v>9627</v>
      </c>
      <c r="O523" s="2" t="s">
        <v>9628</v>
      </c>
      <c r="P523" s="2" t="s">
        <v>9629</v>
      </c>
      <c r="Q523" s="2" t="s">
        <v>9630</v>
      </c>
      <c r="R523" s="2" t="s">
        <v>9631</v>
      </c>
      <c r="S523" s="2" t="s">
        <v>9632</v>
      </c>
      <c r="T523" s="2" t="s">
        <v>86</v>
      </c>
      <c r="U523" s="2" t="s">
        <v>86</v>
      </c>
      <c r="V523" s="2" t="s">
        <v>86</v>
      </c>
      <c r="W523" s="2" t="s">
        <v>80</v>
      </c>
      <c r="X523" s="4">
        <v>363</v>
      </c>
      <c r="Y523" s="4">
        <v>28</v>
      </c>
      <c r="Z523" s="4">
        <v>27</v>
      </c>
      <c r="AA523" s="4">
        <v>3</v>
      </c>
      <c r="AB523" s="4">
        <v>35</v>
      </c>
      <c r="AC523" s="2" t="s">
        <v>139</v>
      </c>
      <c r="AD523" s="2" t="s">
        <v>1355</v>
      </c>
      <c r="AE523" s="2" t="s">
        <v>1356</v>
      </c>
      <c r="AF523" s="2" t="s">
        <v>5829</v>
      </c>
      <c r="AG523" s="2" t="s">
        <v>5830</v>
      </c>
      <c r="AH523" s="2" t="s">
        <v>86</v>
      </c>
      <c r="AI523" s="2" t="s">
        <v>5831</v>
      </c>
      <c r="AJ523" s="2" t="s">
        <v>5832</v>
      </c>
      <c r="AK523" s="2" t="s">
        <v>440</v>
      </c>
      <c r="AL523" s="4">
        <v>2021</v>
      </c>
      <c r="AM523" s="4">
        <v>56</v>
      </c>
      <c r="AN523" s="4">
        <v>27</v>
      </c>
      <c r="AO523" s="2" t="s">
        <v>86</v>
      </c>
      <c r="AP523" s="2" t="s">
        <v>86</v>
      </c>
      <c r="AQ523" s="2" t="s">
        <v>86</v>
      </c>
      <c r="AR523" s="2" t="s">
        <v>86</v>
      </c>
      <c r="AS523" s="4">
        <v>14900</v>
      </c>
      <c r="AT523" s="4">
        <v>14942</v>
      </c>
      <c r="AU523" s="2" t="s">
        <v>86</v>
      </c>
      <c r="AV523" s="2" t="s">
        <v>86</v>
      </c>
      <c r="AW523" s="2" t="s">
        <v>827</v>
      </c>
      <c r="AX523" s="4">
        <v>43</v>
      </c>
      <c r="AY523" s="2" t="s">
        <v>5833</v>
      </c>
      <c r="AZ523" s="2" t="s">
        <v>92</v>
      </c>
      <c r="BA523" s="2" t="s">
        <v>3123</v>
      </c>
      <c r="BB523" s="2" t="s">
        <v>9633</v>
      </c>
      <c r="BC523" s="4">
        <v>34219807</v>
      </c>
      <c r="BD523" s="2" t="s">
        <v>659</v>
      </c>
      <c r="BE523" s="2" t="s">
        <v>86</v>
      </c>
      <c r="BF523" s="2" t="s">
        <v>86</v>
      </c>
      <c r="BG523" s="2" t="s">
        <v>95</v>
      </c>
      <c r="BH523" s="2" t="s">
        <v>9634</v>
      </c>
      <c r="BI523" s="2" t="str">
        <f>HYPERLINK("https%3A%2F%2Fwww.webofscience.com%2Fwos%2Fwoscc%2Ffull-record%2FWOS:000667627500002","View Full Record in Web of Science")</f>
        <v>View Full Record in Web of Science</v>
      </c>
    </row>
    <row r="524" spans="1:61" customFormat="1" ht="12.75" x14ac:dyDescent="0.2">
      <c r="A524" s="1">
        <v>521</v>
      </c>
      <c r="B524" s="1" t="s">
        <v>1068</v>
      </c>
      <c r="C524" s="1" t="s">
        <v>9635</v>
      </c>
      <c r="D524" s="2" t="s">
        <v>9636</v>
      </c>
      <c r="E524" s="2" t="s">
        <v>9637</v>
      </c>
      <c r="F524" s="3" t="str">
        <f>HYPERLINK("http://dx.doi.org/10.2174/1573413713666171109160816","http://dx.doi.org/10.2174/1573413713666171109160816")</f>
        <v>http://dx.doi.org/10.2174/1573413713666171109160816</v>
      </c>
      <c r="G524" s="2" t="s">
        <v>200</v>
      </c>
      <c r="H524" s="2" t="s">
        <v>9638</v>
      </c>
      <c r="I524" s="2" t="s">
        <v>9639</v>
      </c>
      <c r="J524" s="2" t="s">
        <v>9640</v>
      </c>
      <c r="K524" s="2" t="s">
        <v>68</v>
      </c>
      <c r="L524" s="2" t="s">
        <v>9641</v>
      </c>
      <c r="M524" s="2" t="s">
        <v>9642</v>
      </c>
      <c r="N524" s="2" t="s">
        <v>9643</v>
      </c>
      <c r="O524" s="2" t="s">
        <v>2401</v>
      </c>
      <c r="P524" s="2" t="s">
        <v>9644</v>
      </c>
      <c r="Q524" s="2" t="s">
        <v>9645</v>
      </c>
      <c r="R524" s="2" t="s">
        <v>9646</v>
      </c>
      <c r="S524" s="2" t="s">
        <v>9647</v>
      </c>
      <c r="T524" s="2" t="s">
        <v>9648</v>
      </c>
      <c r="U524" s="2" t="s">
        <v>9649</v>
      </c>
      <c r="V524" s="2" t="s">
        <v>9650</v>
      </c>
      <c r="W524" s="2" t="s">
        <v>80</v>
      </c>
      <c r="X524" s="4">
        <v>45</v>
      </c>
      <c r="Y524" s="4">
        <v>14</v>
      </c>
      <c r="Z524" s="4">
        <v>14</v>
      </c>
      <c r="AA524" s="4">
        <v>1</v>
      </c>
      <c r="AB524" s="4">
        <v>74</v>
      </c>
      <c r="AC524" s="2" t="s">
        <v>9651</v>
      </c>
      <c r="AD524" s="2" t="s">
        <v>9652</v>
      </c>
      <c r="AE524" s="2" t="s">
        <v>9653</v>
      </c>
      <c r="AF524" s="2" t="s">
        <v>9654</v>
      </c>
      <c r="AG524" s="2" t="s">
        <v>9655</v>
      </c>
      <c r="AH524" s="2" t="s">
        <v>86</v>
      </c>
      <c r="AI524" s="2" t="s">
        <v>9656</v>
      </c>
      <c r="AJ524" s="2" t="s">
        <v>9657</v>
      </c>
      <c r="AK524" s="2" t="s">
        <v>86</v>
      </c>
      <c r="AL524" s="4">
        <v>2018</v>
      </c>
      <c r="AM524" s="4">
        <v>14</v>
      </c>
      <c r="AN524" s="4">
        <v>3</v>
      </c>
      <c r="AO524" s="2" t="s">
        <v>86</v>
      </c>
      <c r="AP524" s="2" t="s">
        <v>86</v>
      </c>
      <c r="AQ524" s="2" t="s">
        <v>86</v>
      </c>
      <c r="AR524" s="2" t="s">
        <v>86</v>
      </c>
      <c r="AS524" s="4">
        <v>199</v>
      </c>
      <c r="AT524" s="4">
        <v>208</v>
      </c>
      <c r="AU524" s="2" t="s">
        <v>86</v>
      </c>
      <c r="AV524" s="2" t="s">
        <v>86</v>
      </c>
      <c r="AW524" s="2" t="s">
        <v>86</v>
      </c>
      <c r="AX524" s="4">
        <v>10</v>
      </c>
      <c r="AY524" s="2" t="s">
        <v>9658</v>
      </c>
      <c r="AZ524" s="2" t="s">
        <v>92</v>
      </c>
      <c r="BA524" s="2" t="s">
        <v>9659</v>
      </c>
      <c r="BB524" s="2" t="s">
        <v>9660</v>
      </c>
      <c r="BC524" s="2" t="s">
        <v>86</v>
      </c>
      <c r="BD524" s="2" t="s">
        <v>86</v>
      </c>
      <c r="BE524" s="2" t="s">
        <v>86</v>
      </c>
      <c r="BF524" s="2" t="s">
        <v>86</v>
      </c>
      <c r="BG524" s="2" t="s">
        <v>95</v>
      </c>
      <c r="BH524" s="2" t="s">
        <v>9661</v>
      </c>
      <c r="BI524" s="2" t="str">
        <f>HYPERLINK("https%3A%2F%2Fwww.webofscience.com%2Fwos%2Fwoscc%2Ffull-record%2FWOS:000430467600004","View Full Record in Web of Science")</f>
        <v>View Full Record in Web of Science</v>
      </c>
    </row>
    <row r="525" spans="1:61" customFormat="1" ht="12.75" x14ac:dyDescent="0.2">
      <c r="A525" s="1">
        <v>522</v>
      </c>
      <c r="B525" s="1" t="s">
        <v>1068</v>
      </c>
      <c r="C525" s="1" t="s">
        <v>9662</v>
      </c>
      <c r="D525" s="2" t="s">
        <v>9663</v>
      </c>
      <c r="E525" s="2" t="s">
        <v>9664</v>
      </c>
      <c r="F525" s="3" t="str">
        <f>HYPERLINK("http://dx.doi.org/10.1016/j.jobe.2022.105500","http://dx.doi.org/10.1016/j.jobe.2022.105500")</f>
        <v>http://dx.doi.org/10.1016/j.jobe.2022.105500</v>
      </c>
      <c r="G525" s="2" t="s">
        <v>200</v>
      </c>
      <c r="H525" s="2" t="s">
        <v>9665</v>
      </c>
      <c r="I525" s="2" t="s">
        <v>9666</v>
      </c>
      <c r="J525" s="2" t="s">
        <v>9667</v>
      </c>
      <c r="K525" s="2" t="s">
        <v>68</v>
      </c>
      <c r="L525" s="2" t="s">
        <v>9668</v>
      </c>
      <c r="M525" s="2" t="s">
        <v>9669</v>
      </c>
      <c r="N525" s="2" t="s">
        <v>9670</v>
      </c>
      <c r="O525" s="2" t="s">
        <v>9671</v>
      </c>
      <c r="P525" s="2" t="s">
        <v>9672</v>
      </c>
      <c r="Q525" s="2" t="s">
        <v>9673</v>
      </c>
      <c r="R525" s="2" t="s">
        <v>9674</v>
      </c>
      <c r="S525" s="2" t="s">
        <v>9675</v>
      </c>
      <c r="T525" s="2" t="s">
        <v>86</v>
      </c>
      <c r="U525" s="2" t="s">
        <v>86</v>
      </c>
      <c r="V525" s="2" t="s">
        <v>86</v>
      </c>
      <c r="W525" s="2" t="s">
        <v>80</v>
      </c>
      <c r="X525" s="4">
        <v>72</v>
      </c>
      <c r="Y525" s="4">
        <v>1</v>
      </c>
      <c r="Z525" s="4">
        <v>1</v>
      </c>
      <c r="AA525" s="4">
        <v>2</v>
      </c>
      <c r="AB525" s="4">
        <v>2</v>
      </c>
      <c r="AC525" s="2" t="s">
        <v>585</v>
      </c>
      <c r="AD525" s="2" t="s">
        <v>586</v>
      </c>
      <c r="AE525" s="2" t="s">
        <v>587</v>
      </c>
      <c r="AF525" s="2" t="s">
        <v>86</v>
      </c>
      <c r="AG525" s="2" t="s">
        <v>9676</v>
      </c>
      <c r="AH525" s="2" t="s">
        <v>86</v>
      </c>
      <c r="AI525" s="2" t="s">
        <v>9677</v>
      </c>
      <c r="AJ525" s="2" t="s">
        <v>9678</v>
      </c>
      <c r="AK525" s="2" t="s">
        <v>5002</v>
      </c>
      <c r="AL525" s="4">
        <v>2023</v>
      </c>
      <c r="AM525" s="4">
        <v>64</v>
      </c>
      <c r="AN525" s="2" t="s">
        <v>86</v>
      </c>
      <c r="AO525" s="2" t="s">
        <v>86</v>
      </c>
      <c r="AP525" s="2" t="s">
        <v>86</v>
      </c>
      <c r="AQ525" s="2" t="s">
        <v>86</v>
      </c>
      <c r="AR525" s="2" t="s">
        <v>86</v>
      </c>
      <c r="AS525" s="2" t="s">
        <v>86</v>
      </c>
      <c r="AT525" s="2" t="s">
        <v>86</v>
      </c>
      <c r="AU525" s="4">
        <v>105500</v>
      </c>
      <c r="AV525" s="2" t="s">
        <v>86</v>
      </c>
      <c r="AW525" s="2" t="s">
        <v>391</v>
      </c>
      <c r="AX525" s="4">
        <v>24</v>
      </c>
      <c r="AY525" s="2" t="s">
        <v>7789</v>
      </c>
      <c r="AZ525" s="2" t="s">
        <v>92</v>
      </c>
      <c r="BA525" s="2" t="s">
        <v>7790</v>
      </c>
      <c r="BB525" s="2" t="s">
        <v>9679</v>
      </c>
      <c r="BC525" s="2" t="s">
        <v>86</v>
      </c>
      <c r="BD525" s="2" t="s">
        <v>86</v>
      </c>
      <c r="BE525" s="2" t="s">
        <v>86</v>
      </c>
      <c r="BF525" s="2" t="s">
        <v>86</v>
      </c>
      <c r="BG525" s="2" t="s">
        <v>95</v>
      </c>
      <c r="BH525" s="2" t="s">
        <v>9680</v>
      </c>
      <c r="BI525" s="2" t="str">
        <f>HYPERLINK("https%3A%2F%2Fwww.webofscience.com%2Fwos%2Fwoscc%2Ffull-record%2FWOS:000997934600001","View Full Record in Web of Science")</f>
        <v>View Full Record in Web of Science</v>
      </c>
    </row>
    <row r="526" spans="1:61" customFormat="1" ht="12.75" x14ac:dyDescent="0.2">
      <c r="A526" s="1">
        <v>523</v>
      </c>
      <c r="B526" s="1" t="s">
        <v>1068</v>
      </c>
      <c r="C526" s="1" t="s">
        <v>9681</v>
      </c>
      <c r="D526" s="2" t="s">
        <v>9682</v>
      </c>
      <c r="E526" s="2" t="s">
        <v>9683</v>
      </c>
      <c r="F526" s="3" t="str">
        <f>HYPERLINK("http://dx.doi.org/10.1007/s13738-020-01863-9","http://dx.doi.org/10.1007/s13738-020-01863-9")</f>
        <v>http://dx.doi.org/10.1007/s13738-020-01863-9</v>
      </c>
      <c r="G526" s="2" t="s">
        <v>200</v>
      </c>
      <c r="H526" s="2" t="s">
        <v>9684</v>
      </c>
      <c r="I526" s="2" t="s">
        <v>9685</v>
      </c>
      <c r="J526" s="2" t="s">
        <v>9686</v>
      </c>
      <c r="K526" s="2" t="s">
        <v>68</v>
      </c>
      <c r="L526" s="2" t="s">
        <v>9687</v>
      </c>
      <c r="M526" s="2" t="s">
        <v>9688</v>
      </c>
      <c r="N526" s="2" t="s">
        <v>9689</v>
      </c>
      <c r="O526" s="2" t="s">
        <v>9690</v>
      </c>
      <c r="P526" s="2" t="s">
        <v>9691</v>
      </c>
      <c r="Q526" s="2" t="s">
        <v>9692</v>
      </c>
      <c r="R526" s="2" t="s">
        <v>9693</v>
      </c>
      <c r="S526" s="2" t="s">
        <v>9694</v>
      </c>
      <c r="T526" s="2" t="s">
        <v>86</v>
      </c>
      <c r="U526" s="2" t="s">
        <v>86</v>
      </c>
      <c r="V526" s="2" t="s">
        <v>86</v>
      </c>
      <c r="W526" s="2" t="s">
        <v>80</v>
      </c>
      <c r="X526" s="4">
        <v>41</v>
      </c>
      <c r="Y526" s="4">
        <v>10</v>
      </c>
      <c r="Z526" s="4">
        <v>10</v>
      </c>
      <c r="AA526" s="4">
        <v>0</v>
      </c>
      <c r="AB526" s="4">
        <v>5</v>
      </c>
      <c r="AC526" s="2" t="s">
        <v>139</v>
      </c>
      <c r="AD526" s="2" t="s">
        <v>1355</v>
      </c>
      <c r="AE526" s="2" t="s">
        <v>1356</v>
      </c>
      <c r="AF526" s="2" t="s">
        <v>9695</v>
      </c>
      <c r="AG526" s="2" t="s">
        <v>9696</v>
      </c>
      <c r="AH526" s="2" t="s">
        <v>86</v>
      </c>
      <c r="AI526" s="2" t="s">
        <v>9697</v>
      </c>
      <c r="AJ526" s="2" t="s">
        <v>9698</v>
      </c>
      <c r="AK526" s="2" t="s">
        <v>342</v>
      </c>
      <c r="AL526" s="4">
        <v>2020</v>
      </c>
      <c r="AM526" s="4">
        <v>17</v>
      </c>
      <c r="AN526" s="4">
        <v>6</v>
      </c>
      <c r="AO526" s="2" t="s">
        <v>86</v>
      </c>
      <c r="AP526" s="2" t="s">
        <v>86</v>
      </c>
      <c r="AQ526" s="2" t="s">
        <v>86</v>
      </c>
      <c r="AR526" s="2" t="s">
        <v>86</v>
      </c>
      <c r="AS526" s="4">
        <v>1377</v>
      </c>
      <c r="AT526" s="4">
        <v>1386</v>
      </c>
      <c r="AU526" s="2" t="s">
        <v>86</v>
      </c>
      <c r="AV526" s="2" t="s">
        <v>86</v>
      </c>
      <c r="AW526" s="2" t="s">
        <v>86</v>
      </c>
      <c r="AX526" s="4">
        <v>10</v>
      </c>
      <c r="AY526" s="2" t="s">
        <v>4167</v>
      </c>
      <c r="AZ526" s="2" t="s">
        <v>92</v>
      </c>
      <c r="BA526" s="2" t="s">
        <v>901</v>
      </c>
      <c r="BB526" s="2" t="s">
        <v>9699</v>
      </c>
      <c r="BC526" s="2" t="s">
        <v>86</v>
      </c>
      <c r="BD526" s="2" t="s">
        <v>86</v>
      </c>
      <c r="BE526" s="2" t="s">
        <v>86</v>
      </c>
      <c r="BF526" s="2" t="s">
        <v>86</v>
      </c>
      <c r="BG526" s="2" t="s">
        <v>95</v>
      </c>
      <c r="BH526" s="2" t="s">
        <v>9700</v>
      </c>
      <c r="BI526" s="2" t="str">
        <f>HYPERLINK("https%3A%2F%2Fwww.webofscience.com%2Fwos%2Fwoscc%2Ffull-record%2FWOS:000529872400012","View Full Record in Web of Science")</f>
        <v>View Full Record in Web of Science</v>
      </c>
    </row>
    <row r="527" spans="1:61" customFormat="1" ht="12.75" x14ac:dyDescent="0.2">
      <c r="A527" s="1">
        <v>524</v>
      </c>
      <c r="B527" s="1" t="s">
        <v>1068</v>
      </c>
      <c r="C527" s="1" t="s">
        <v>9701</v>
      </c>
      <c r="D527" s="2" t="s">
        <v>9702</v>
      </c>
      <c r="E527" s="2" t="s">
        <v>9703</v>
      </c>
      <c r="F527" s="3" t="str">
        <f>HYPERLINK("http://dx.doi.org/10.1016/S0378-4320(00)00202-5","http://dx.doi.org/10.1016/S0378-4320(00)00202-5")</f>
        <v>http://dx.doi.org/10.1016/S0378-4320(00)00202-5</v>
      </c>
      <c r="G527" s="2" t="s">
        <v>200</v>
      </c>
      <c r="H527" s="2" t="s">
        <v>9704</v>
      </c>
      <c r="I527" s="2" t="s">
        <v>9704</v>
      </c>
      <c r="J527" s="2" t="s">
        <v>8227</v>
      </c>
      <c r="K527" s="2" t="s">
        <v>68</v>
      </c>
      <c r="L527" s="2" t="s">
        <v>9705</v>
      </c>
      <c r="M527" s="2" t="s">
        <v>9706</v>
      </c>
      <c r="N527" s="2" t="s">
        <v>9707</v>
      </c>
      <c r="O527" s="2" t="s">
        <v>9708</v>
      </c>
      <c r="P527" s="2" t="s">
        <v>9709</v>
      </c>
      <c r="Q527" s="2" t="s">
        <v>86</v>
      </c>
      <c r="R527" s="2" t="s">
        <v>86</v>
      </c>
      <c r="S527" s="2" t="s">
        <v>86</v>
      </c>
      <c r="T527" s="2" t="s">
        <v>86</v>
      </c>
      <c r="U527" s="2" t="s">
        <v>86</v>
      </c>
      <c r="V527" s="2" t="s">
        <v>86</v>
      </c>
      <c r="W527" s="2" t="s">
        <v>80</v>
      </c>
      <c r="X527" s="4">
        <v>43</v>
      </c>
      <c r="Y527" s="4">
        <v>18</v>
      </c>
      <c r="Z527" s="4">
        <v>19</v>
      </c>
      <c r="AA527" s="4">
        <v>0</v>
      </c>
      <c r="AB527" s="4">
        <v>12</v>
      </c>
      <c r="AC527" s="2" t="s">
        <v>4555</v>
      </c>
      <c r="AD527" s="2" t="s">
        <v>586</v>
      </c>
      <c r="AE527" s="2" t="s">
        <v>4556</v>
      </c>
      <c r="AF527" s="2" t="s">
        <v>8236</v>
      </c>
      <c r="AG527" s="2" t="s">
        <v>86</v>
      </c>
      <c r="AH527" s="2" t="s">
        <v>86</v>
      </c>
      <c r="AI527" s="2" t="s">
        <v>8238</v>
      </c>
      <c r="AJ527" s="2" t="s">
        <v>8239</v>
      </c>
      <c r="AK527" s="2" t="s">
        <v>9710</v>
      </c>
      <c r="AL527" s="4">
        <v>2000</v>
      </c>
      <c r="AM527" s="4">
        <v>64</v>
      </c>
      <c r="AN527" s="2" t="s">
        <v>9379</v>
      </c>
      <c r="AO527" s="2" t="s">
        <v>86</v>
      </c>
      <c r="AP527" s="2" t="s">
        <v>86</v>
      </c>
      <c r="AQ527" s="2" t="s">
        <v>86</v>
      </c>
      <c r="AR527" s="2" t="s">
        <v>86</v>
      </c>
      <c r="AS527" s="4">
        <v>149</v>
      </c>
      <c r="AT527" s="4">
        <v>160</v>
      </c>
      <c r="AU527" s="2" t="s">
        <v>86</v>
      </c>
      <c r="AV527" s="2" t="s">
        <v>86</v>
      </c>
      <c r="AW527" s="2" t="s">
        <v>86</v>
      </c>
      <c r="AX527" s="4">
        <v>12</v>
      </c>
      <c r="AY527" s="2" t="s">
        <v>8240</v>
      </c>
      <c r="AZ527" s="2" t="s">
        <v>92</v>
      </c>
      <c r="BA527" s="2" t="s">
        <v>8241</v>
      </c>
      <c r="BB527" s="2" t="s">
        <v>9711</v>
      </c>
      <c r="BC527" s="4">
        <v>11121892</v>
      </c>
      <c r="BD527" s="2" t="s">
        <v>86</v>
      </c>
      <c r="BE527" s="2" t="s">
        <v>86</v>
      </c>
      <c r="BF527" s="2" t="s">
        <v>86</v>
      </c>
      <c r="BG527" s="2" t="s">
        <v>95</v>
      </c>
      <c r="BH527" s="2" t="s">
        <v>9712</v>
      </c>
      <c r="BI527" s="2" t="str">
        <f>HYPERLINK("https%3A%2F%2Fwww.webofscience.com%2Fwos%2Fwoscc%2Ffull-record%2FWOS:000166226300002","View Full Record in Web of Science")</f>
        <v>View Full Record in Web of Science</v>
      </c>
    </row>
    <row r="528" spans="1:61" customFormat="1" ht="12.75" x14ac:dyDescent="0.2">
      <c r="A528" s="1">
        <v>525</v>
      </c>
      <c r="B528" s="1" t="s">
        <v>1068</v>
      </c>
      <c r="C528" s="1" t="s">
        <v>9713</v>
      </c>
      <c r="D528" s="2" t="s">
        <v>9714</v>
      </c>
      <c r="E528" s="2" t="s">
        <v>9715</v>
      </c>
      <c r="F528" s="3" t="str">
        <f>HYPERLINK("http://dx.doi.org/10.1016/j.colsurfa.2022.128391","http://dx.doi.org/10.1016/j.colsurfa.2022.128391")</f>
        <v>http://dx.doi.org/10.1016/j.colsurfa.2022.128391</v>
      </c>
      <c r="G528" s="2" t="s">
        <v>200</v>
      </c>
      <c r="H528" s="2" t="s">
        <v>9716</v>
      </c>
      <c r="I528" s="2" t="s">
        <v>9717</v>
      </c>
      <c r="J528" s="2" t="s">
        <v>9718</v>
      </c>
      <c r="K528" s="2" t="s">
        <v>68</v>
      </c>
      <c r="L528" s="2" t="s">
        <v>9719</v>
      </c>
      <c r="M528" s="2" t="s">
        <v>9720</v>
      </c>
      <c r="N528" s="2" t="s">
        <v>9721</v>
      </c>
      <c r="O528" s="2" t="s">
        <v>9722</v>
      </c>
      <c r="P528" s="2" t="s">
        <v>9723</v>
      </c>
      <c r="Q528" s="2" t="s">
        <v>9724</v>
      </c>
      <c r="R528" s="2" t="s">
        <v>86</v>
      </c>
      <c r="S528" s="2" t="s">
        <v>86</v>
      </c>
      <c r="T528" s="2" t="s">
        <v>9725</v>
      </c>
      <c r="U528" s="2" t="s">
        <v>9726</v>
      </c>
      <c r="V528" s="2" t="s">
        <v>9727</v>
      </c>
      <c r="W528" s="2" t="s">
        <v>80</v>
      </c>
      <c r="X528" s="4">
        <v>62</v>
      </c>
      <c r="Y528" s="4">
        <v>7</v>
      </c>
      <c r="Z528" s="4">
        <v>7</v>
      </c>
      <c r="AA528" s="4">
        <v>6</v>
      </c>
      <c r="AB528" s="4">
        <v>16</v>
      </c>
      <c r="AC528" s="2" t="s">
        <v>585</v>
      </c>
      <c r="AD528" s="2" t="s">
        <v>586</v>
      </c>
      <c r="AE528" s="2" t="s">
        <v>587</v>
      </c>
      <c r="AF528" s="2" t="s">
        <v>9728</v>
      </c>
      <c r="AG528" s="2" t="s">
        <v>9729</v>
      </c>
      <c r="AH528" s="2" t="s">
        <v>86</v>
      </c>
      <c r="AI528" s="2" t="s">
        <v>9730</v>
      </c>
      <c r="AJ528" s="2" t="s">
        <v>9731</v>
      </c>
      <c r="AK528" s="2" t="s">
        <v>9732</v>
      </c>
      <c r="AL528" s="4">
        <v>2022</v>
      </c>
      <c r="AM528" s="4">
        <v>639</v>
      </c>
      <c r="AN528" s="2" t="s">
        <v>86</v>
      </c>
      <c r="AO528" s="2" t="s">
        <v>86</v>
      </c>
      <c r="AP528" s="2" t="s">
        <v>86</v>
      </c>
      <c r="AQ528" s="2" t="s">
        <v>86</v>
      </c>
      <c r="AR528" s="2" t="s">
        <v>86</v>
      </c>
      <c r="AS528" s="2" t="s">
        <v>86</v>
      </c>
      <c r="AT528" s="2" t="s">
        <v>86</v>
      </c>
      <c r="AU528" s="4">
        <v>128391</v>
      </c>
      <c r="AV528" s="2" t="s">
        <v>86</v>
      </c>
      <c r="AW528" s="2" t="s">
        <v>268</v>
      </c>
      <c r="AX528" s="4">
        <v>13</v>
      </c>
      <c r="AY528" s="2" t="s">
        <v>7414</v>
      </c>
      <c r="AZ528" s="2" t="s">
        <v>92</v>
      </c>
      <c r="BA528" s="2" t="s">
        <v>901</v>
      </c>
      <c r="BB528" s="2" t="s">
        <v>9733</v>
      </c>
      <c r="BC528" s="2" t="s">
        <v>86</v>
      </c>
      <c r="BD528" s="2" t="s">
        <v>86</v>
      </c>
      <c r="BE528" s="2" t="s">
        <v>86</v>
      </c>
      <c r="BF528" s="2" t="s">
        <v>86</v>
      </c>
      <c r="BG528" s="2" t="s">
        <v>95</v>
      </c>
      <c r="BH528" s="2" t="s">
        <v>9734</v>
      </c>
      <c r="BI528" s="2" t="str">
        <f>HYPERLINK("https%3A%2F%2Fwww.webofscience.com%2Fwos%2Fwoscc%2Ffull-record%2FWOS:000820083200005","View Full Record in Web of Science")</f>
        <v>View Full Record in Web of Science</v>
      </c>
    </row>
    <row r="529" spans="1:61" customFormat="1" ht="12.75" x14ac:dyDescent="0.2">
      <c r="A529" s="1">
        <v>526</v>
      </c>
      <c r="B529" s="1" t="s">
        <v>1068</v>
      </c>
      <c r="C529" s="1" t="s">
        <v>9735</v>
      </c>
      <c r="D529" s="2" t="s">
        <v>9736</v>
      </c>
      <c r="E529" s="2" t="s">
        <v>9737</v>
      </c>
      <c r="F529" s="3" t="str">
        <f>HYPERLINK("http://dx.doi.org/10.1016/j.chroma.2021.462756","http://dx.doi.org/10.1016/j.chroma.2021.462756")</f>
        <v>http://dx.doi.org/10.1016/j.chroma.2021.462756</v>
      </c>
      <c r="G529" s="2" t="s">
        <v>200</v>
      </c>
      <c r="H529" s="2" t="s">
        <v>9738</v>
      </c>
      <c r="I529" s="2" t="s">
        <v>9739</v>
      </c>
      <c r="J529" s="2" t="s">
        <v>9740</v>
      </c>
      <c r="K529" s="2" t="s">
        <v>68</v>
      </c>
      <c r="L529" s="2" t="s">
        <v>9741</v>
      </c>
      <c r="M529" s="2" t="s">
        <v>9742</v>
      </c>
      <c r="N529" s="2" t="s">
        <v>9743</v>
      </c>
      <c r="O529" s="2" t="s">
        <v>9744</v>
      </c>
      <c r="P529" s="2" t="s">
        <v>9745</v>
      </c>
      <c r="Q529" s="2" t="s">
        <v>9746</v>
      </c>
      <c r="R529" s="2" t="s">
        <v>9747</v>
      </c>
      <c r="S529" s="2" t="s">
        <v>86</v>
      </c>
      <c r="T529" s="2" t="s">
        <v>9748</v>
      </c>
      <c r="U529" s="2" t="s">
        <v>9749</v>
      </c>
      <c r="V529" s="2" t="s">
        <v>9750</v>
      </c>
      <c r="W529" s="2" t="s">
        <v>80</v>
      </c>
      <c r="X529" s="4">
        <v>45</v>
      </c>
      <c r="Y529" s="4">
        <v>6</v>
      </c>
      <c r="Z529" s="4">
        <v>6</v>
      </c>
      <c r="AA529" s="4">
        <v>2</v>
      </c>
      <c r="AB529" s="4">
        <v>27</v>
      </c>
      <c r="AC529" s="2" t="s">
        <v>585</v>
      </c>
      <c r="AD529" s="2" t="s">
        <v>586</v>
      </c>
      <c r="AE529" s="2" t="s">
        <v>587</v>
      </c>
      <c r="AF529" s="2" t="s">
        <v>9751</v>
      </c>
      <c r="AG529" s="2" t="s">
        <v>9752</v>
      </c>
      <c r="AH529" s="2" t="s">
        <v>86</v>
      </c>
      <c r="AI529" s="2" t="s">
        <v>9753</v>
      </c>
      <c r="AJ529" s="2" t="s">
        <v>9754</v>
      </c>
      <c r="AK529" s="2" t="s">
        <v>9755</v>
      </c>
      <c r="AL529" s="4">
        <v>2022</v>
      </c>
      <c r="AM529" s="4">
        <v>1663</v>
      </c>
      <c r="AN529" s="2" t="s">
        <v>86</v>
      </c>
      <c r="AO529" s="2" t="s">
        <v>86</v>
      </c>
      <c r="AP529" s="2" t="s">
        <v>86</v>
      </c>
      <c r="AQ529" s="2" t="s">
        <v>86</v>
      </c>
      <c r="AR529" s="2" t="s">
        <v>86</v>
      </c>
      <c r="AS529" s="2" t="s">
        <v>86</v>
      </c>
      <c r="AT529" s="2" t="s">
        <v>86</v>
      </c>
      <c r="AU529" s="4">
        <v>462756</v>
      </c>
      <c r="AV529" s="2" t="s">
        <v>86</v>
      </c>
      <c r="AW529" s="2" t="s">
        <v>90</v>
      </c>
      <c r="AX529" s="4">
        <v>10</v>
      </c>
      <c r="AY529" s="2" t="s">
        <v>9756</v>
      </c>
      <c r="AZ529" s="2" t="s">
        <v>92</v>
      </c>
      <c r="BA529" s="2" t="s">
        <v>4053</v>
      </c>
      <c r="BB529" s="2" t="s">
        <v>9757</v>
      </c>
      <c r="BC529" s="4">
        <v>34954530</v>
      </c>
      <c r="BD529" s="2" t="s">
        <v>86</v>
      </c>
      <c r="BE529" s="2" t="s">
        <v>86</v>
      </c>
      <c r="BF529" s="2" t="s">
        <v>86</v>
      </c>
      <c r="BG529" s="2" t="s">
        <v>95</v>
      </c>
      <c r="BH529" s="2" t="s">
        <v>9758</v>
      </c>
      <c r="BI529" s="2" t="str">
        <f>HYPERLINK("https%3A%2F%2Fwww.webofscience.com%2Fwos%2Fwoscc%2Ffull-record%2FWOS:000735787200006","View Full Record in Web of Science")</f>
        <v>View Full Record in Web of Science</v>
      </c>
    </row>
    <row r="530" spans="1:61" customFormat="1" ht="12.75" x14ac:dyDescent="0.2">
      <c r="A530" s="1">
        <v>527</v>
      </c>
      <c r="B530" s="1" t="s">
        <v>1068</v>
      </c>
      <c r="C530" s="1" t="s">
        <v>9759</v>
      </c>
      <c r="D530" s="2" t="s">
        <v>9760</v>
      </c>
      <c r="E530" s="2" t="s">
        <v>86</v>
      </c>
      <c r="F530" s="2" t="s">
        <v>86</v>
      </c>
      <c r="G530" s="2" t="s">
        <v>200</v>
      </c>
      <c r="H530" s="2" t="s">
        <v>9761</v>
      </c>
      <c r="I530" s="2" t="s">
        <v>9762</v>
      </c>
      <c r="J530" s="2" t="s">
        <v>9763</v>
      </c>
      <c r="K530" s="2" t="s">
        <v>68</v>
      </c>
      <c r="L530" s="2" t="s">
        <v>9764</v>
      </c>
      <c r="M530" s="2" t="s">
        <v>86</v>
      </c>
      <c r="N530" s="2" t="s">
        <v>9765</v>
      </c>
      <c r="O530" s="2" t="s">
        <v>9766</v>
      </c>
      <c r="P530" s="2" t="s">
        <v>9767</v>
      </c>
      <c r="Q530" s="2" t="s">
        <v>86</v>
      </c>
      <c r="R530" s="2" t="s">
        <v>86</v>
      </c>
      <c r="S530" s="2" t="s">
        <v>86</v>
      </c>
      <c r="T530" s="2" t="s">
        <v>86</v>
      </c>
      <c r="U530" s="2" t="s">
        <v>86</v>
      </c>
      <c r="V530" s="2" t="s">
        <v>86</v>
      </c>
      <c r="W530" s="2" t="s">
        <v>80</v>
      </c>
      <c r="X530" s="4">
        <v>22</v>
      </c>
      <c r="Y530" s="4">
        <v>1</v>
      </c>
      <c r="Z530" s="4">
        <v>1</v>
      </c>
      <c r="AA530" s="4">
        <v>0</v>
      </c>
      <c r="AB530" s="4">
        <v>4</v>
      </c>
      <c r="AC530" s="2" t="s">
        <v>5529</v>
      </c>
      <c r="AD530" s="2" t="s">
        <v>5530</v>
      </c>
      <c r="AE530" s="2" t="s">
        <v>5531</v>
      </c>
      <c r="AF530" s="2" t="s">
        <v>9768</v>
      </c>
      <c r="AG530" s="2" t="s">
        <v>9769</v>
      </c>
      <c r="AH530" s="2" t="s">
        <v>86</v>
      </c>
      <c r="AI530" s="2" t="s">
        <v>9770</v>
      </c>
      <c r="AJ530" s="2" t="s">
        <v>9771</v>
      </c>
      <c r="AK530" s="2" t="s">
        <v>86</v>
      </c>
      <c r="AL530" s="4">
        <v>2011</v>
      </c>
      <c r="AM530" s="4">
        <v>8</v>
      </c>
      <c r="AN530" s="4">
        <v>1</v>
      </c>
      <c r="AO530" s="2" t="s">
        <v>86</v>
      </c>
      <c r="AP530" s="2" t="s">
        <v>86</v>
      </c>
      <c r="AQ530" s="2" t="s">
        <v>86</v>
      </c>
      <c r="AR530" s="2" t="s">
        <v>86</v>
      </c>
      <c r="AS530" s="2" t="s">
        <v>86</v>
      </c>
      <c r="AT530" s="2" t="s">
        <v>86</v>
      </c>
      <c r="AU530" s="4">
        <v>16</v>
      </c>
      <c r="AV530" s="2" t="s">
        <v>86</v>
      </c>
      <c r="AW530" s="2" t="s">
        <v>86</v>
      </c>
      <c r="AX530" s="4">
        <v>19</v>
      </c>
      <c r="AY530" s="2" t="s">
        <v>9772</v>
      </c>
      <c r="AZ530" s="2" t="s">
        <v>1005</v>
      </c>
      <c r="BA530" s="2" t="s">
        <v>9772</v>
      </c>
      <c r="BB530" s="2" t="s">
        <v>9773</v>
      </c>
      <c r="BC530" s="2" t="s">
        <v>86</v>
      </c>
      <c r="BD530" s="2" t="s">
        <v>86</v>
      </c>
      <c r="BE530" s="2" t="s">
        <v>86</v>
      </c>
      <c r="BF530" s="2" t="s">
        <v>86</v>
      </c>
      <c r="BG530" s="2" t="s">
        <v>95</v>
      </c>
      <c r="BH530" s="2" t="s">
        <v>9774</v>
      </c>
      <c r="BI530" s="2" t="str">
        <f>HYPERLINK("https%3A%2F%2Fwww.webofscience.com%2Fwos%2Fwoscc%2Ffull-record%2FWOS:000289119600002","View Full Record in Web of Science")</f>
        <v>View Full Record in Web of Science</v>
      </c>
    </row>
    <row r="531" spans="1:61" customFormat="1" ht="12.75" x14ac:dyDescent="0.2">
      <c r="A531" s="1">
        <v>528</v>
      </c>
      <c r="B531" s="1" t="s">
        <v>1068</v>
      </c>
      <c r="C531" s="1" t="s">
        <v>9775</v>
      </c>
      <c r="D531" s="2" t="s">
        <v>9776</v>
      </c>
      <c r="E531" s="2" t="s">
        <v>86</v>
      </c>
      <c r="F531" s="2" t="s">
        <v>86</v>
      </c>
      <c r="G531" s="2" t="s">
        <v>200</v>
      </c>
      <c r="H531" s="2" t="s">
        <v>9777</v>
      </c>
      <c r="I531" s="2" t="s">
        <v>9778</v>
      </c>
      <c r="J531" s="2" t="s">
        <v>9779</v>
      </c>
      <c r="K531" s="2" t="s">
        <v>68</v>
      </c>
      <c r="L531" s="2" t="s">
        <v>9780</v>
      </c>
      <c r="M531" s="2" t="s">
        <v>9781</v>
      </c>
      <c r="N531" s="2" t="s">
        <v>9782</v>
      </c>
      <c r="O531" s="2" t="s">
        <v>4229</v>
      </c>
      <c r="P531" s="2" t="s">
        <v>9783</v>
      </c>
      <c r="Q531" s="2" t="s">
        <v>86</v>
      </c>
      <c r="R531" s="2" t="s">
        <v>9784</v>
      </c>
      <c r="S531" s="2" t="s">
        <v>9785</v>
      </c>
      <c r="T531" s="2" t="s">
        <v>86</v>
      </c>
      <c r="U531" s="2" t="s">
        <v>86</v>
      </c>
      <c r="V531" s="2" t="s">
        <v>86</v>
      </c>
      <c r="W531" s="2" t="s">
        <v>80</v>
      </c>
      <c r="X531" s="4">
        <v>42</v>
      </c>
      <c r="Y531" s="4">
        <v>6</v>
      </c>
      <c r="Z531" s="4">
        <v>6</v>
      </c>
      <c r="AA531" s="4">
        <v>0</v>
      </c>
      <c r="AB531" s="4">
        <v>16</v>
      </c>
      <c r="AC531" s="2" t="s">
        <v>9786</v>
      </c>
      <c r="AD531" s="2" t="s">
        <v>4237</v>
      </c>
      <c r="AE531" s="2" t="s">
        <v>9787</v>
      </c>
      <c r="AF531" s="2" t="s">
        <v>9788</v>
      </c>
      <c r="AG531" s="2" t="s">
        <v>86</v>
      </c>
      <c r="AH531" s="2" t="s">
        <v>86</v>
      </c>
      <c r="AI531" s="2" t="s">
        <v>9789</v>
      </c>
      <c r="AJ531" s="2" t="s">
        <v>9790</v>
      </c>
      <c r="AK531" s="2" t="s">
        <v>86</v>
      </c>
      <c r="AL531" s="4">
        <v>2009</v>
      </c>
      <c r="AM531" s="4">
        <v>54</v>
      </c>
      <c r="AN531" s="4">
        <v>4</v>
      </c>
      <c r="AO531" s="2" t="s">
        <v>86</v>
      </c>
      <c r="AP531" s="2" t="s">
        <v>86</v>
      </c>
      <c r="AQ531" s="2" t="s">
        <v>86</v>
      </c>
      <c r="AR531" s="2" t="s">
        <v>86</v>
      </c>
      <c r="AS531" s="4">
        <v>687</v>
      </c>
      <c r="AT531" s="4">
        <v>707</v>
      </c>
      <c r="AU531" s="2" t="s">
        <v>86</v>
      </c>
      <c r="AV531" s="2" t="s">
        <v>86</v>
      </c>
      <c r="AW531" s="2" t="s">
        <v>86</v>
      </c>
      <c r="AX531" s="4">
        <v>21</v>
      </c>
      <c r="AY531" s="2" t="s">
        <v>9791</v>
      </c>
      <c r="AZ531" s="2" t="s">
        <v>92</v>
      </c>
      <c r="BA531" s="2" t="s">
        <v>9791</v>
      </c>
      <c r="BB531" s="2" t="s">
        <v>9792</v>
      </c>
      <c r="BC531" s="2" t="s">
        <v>86</v>
      </c>
      <c r="BD531" s="2" t="s">
        <v>86</v>
      </c>
      <c r="BE531" s="2" t="s">
        <v>86</v>
      </c>
      <c r="BF531" s="2" t="s">
        <v>86</v>
      </c>
      <c r="BG531" s="2" t="s">
        <v>95</v>
      </c>
      <c r="BH531" s="2" t="s">
        <v>9793</v>
      </c>
      <c r="BI531" s="2" t="str">
        <f>HYPERLINK("https%3A%2F%2Fwww.webofscience.com%2Fwos%2Fwoscc%2Ffull-record%2FWOS:000274869500006","View Full Record in Web of Science")</f>
        <v>View Full Record in Web of Science</v>
      </c>
    </row>
    <row r="532" spans="1:61" customFormat="1" ht="12.75" x14ac:dyDescent="0.2">
      <c r="A532" s="1">
        <v>529</v>
      </c>
      <c r="B532" s="1" t="s">
        <v>1068</v>
      </c>
      <c r="C532" s="1" t="s">
        <v>9794</v>
      </c>
      <c r="D532" s="2" t="s">
        <v>9795</v>
      </c>
      <c r="E532" s="2" t="s">
        <v>9796</v>
      </c>
      <c r="F532" s="3" t="str">
        <f>HYPERLINK("http://dx.doi.org/10.1007/s12631-019-0176-5","http://dx.doi.org/10.1007/s12631-019-0176-5")</f>
        <v>http://dx.doi.org/10.1007/s12631-019-0176-5</v>
      </c>
      <c r="G532" s="2" t="s">
        <v>200</v>
      </c>
      <c r="H532" s="2" t="s">
        <v>9797</v>
      </c>
      <c r="I532" s="2" t="s">
        <v>9798</v>
      </c>
      <c r="J532" s="2" t="s">
        <v>9799</v>
      </c>
      <c r="K532" s="2" t="s">
        <v>9800</v>
      </c>
      <c r="L532" s="2" t="s">
        <v>9801</v>
      </c>
      <c r="M532" s="2" t="s">
        <v>9802</v>
      </c>
      <c r="N532" s="2" t="s">
        <v>9803</v>
      </c>
      <c r="O532" s="2" t="s">
        <v>86</v>
      </c>
      <c r="P532" s="2" t="s">
        <v>9804</v>
      </c>
      <c r="Q532" s="2" t="s">
        <v>9805</v>
      </c>
      <c r="R532" s="2" t="s">
        <v>9806</v>
      </c>
      <c r="S532" s="2" t="s">
        <v>9807</v>
      </c>
      <c r="T532" s="2" t="s">
        <v>86</v>
      </c>
      <c r="U532" s="2" t="s">
        <v>86</v>
      </c>
      <c r="V532" s="2" t="s">
        <v>86</v>
      </c>
      <c r="W532" s="2" t="s">
        <v>80</v>
      </c>
      <c r="X532" s="4">
        <v>46</v>
      </c>
      <c r="Y532" s="4">
        <v>0</v>
      </c>
      <c r="Z532" s="4">
        <v>0</v>
      </c>
      <c r="AA532" s="4">
        <v>0</v>
      </c>
      <c r="AB532" s="4">
        <v>6</v>
      </c>
      <c r="AC532" s="2" t="s">
        <v>81</v>
      </c>
      <c r="AD532" s="2" t="s">
        <v>82</v>
      </c>
      <c r="AE532" s="2" t="s">
        <v>83</v>
      </c>
      <c r="AF532" s="2" t="s">
        <v>9808</v>
      </c>
      <c r="AG532" s="2" t="s">
        <v>9809</v>
      </c>
      <c r="AH532" s="2" t="s">
        <v>86</v>
      </c>
      <c r="AI532" s="2" t="s">
        <v>9810</v>
      </c>
      <c r="AJ532" s="2" t="s">
        <v>9811</v>
      </c>
      <c r="AK532" s="2" t="s">
        <v>366</v>
      </c>
      <c r="AL532" s="4">
        <v>2019</v>
      </c>
      <c r="AM532" s="4">
        <v>12</v>
      </c>
      <c r="AN532" s="4">
        <v>1</v>
      </c>
      <c r="AO532" s="2" t="s">
        <v>86</v>
      </c>
      <c r="AP532" s="2" t="s">
        <v>86</v>
      </c>
      <c r="AQ532" s="2" t="s">
        <v>86</v>
      </c>
      <c r="AR532" s="2" t="s">
        <v>86</v>
      </c>
      <c r="AS532" s="4">
        <v>40</v>
      </c>
      <c r="AT532" s="4">
        <v>49</v>
      </c>
      <c r="AU532" s="2" t="s">
        <v>86</v>
      </c>
      <c r="AV532" s="2" t="s">
        <v>86</v>
      </c>
      <c r="AW532" s="2" t="s">
        <v>86</v>
      </c>
      <c r="AX532" s="4">
        <v>10</v>
      </c>
      <c r="AY532" s="2" t="s">
        <v>5289</v>
      </c>
      <c r="AZ532" s="2" t="s">
        <v>171</v>
      </c>
      <c r="BA532" s="2" t="s">
        <v>5289</v>
      </c>
      <c r="BB532" s="2" t="s">
        <v>9812</v>
      </c>
      <c r="BC532" s="2" t="s">
        <v>86</v>
      </c>
      <c r="BD532" s="2" t="s">
        <v>86</v>
      </c>
      <c r="BE532" s="2" t="s">
        <v>86</v>
      </c>
      <c r="BF532" s="2" t="s">
        <v>86</v>
      </c>
      <c r="BG532" s="2" t="s">
        <v>95</v>
      </c>
      <c r="BH532" s="2" t="s">
        <v>9813</v>
      </c>
      <c r="BI532" s="2" t="str">
        <f>HYPERLINK("https%3A%2F%2Fwww.webofscience.com%2Fwos%2Fwoscc%2Ffull-record%2FWOS:000460079700015","View Full Record in Web of Science")</f>
        <v>View Full Record in Web of Science</v>
      </c>
    </row>
    <row r="533" spans="1:61" customFormat="1" ht="12.75" x14ac:dyDescent="0.2">
      <c r="A533" s="1">
        <v>530</v>
      </c>
      <c r="B533" s="1" t="s">
        <v>1068</v>
      </c>
      <c r="C533" s="1" t="s">
        <v>9814</v>
      </c>
      <c r="D533" s="2" t="s">
        <v>9815</v>
      </c>
      <c r="E533" s="2" t="s">
        <v>9816</v>
      </c>
      <c r="F533" s="3" t="str">
        <f>HYPERLINK("http://dx.doi.org/10.1242/jeb.096180","http://dx.doi.org/10.1242/jeb.096180")</f>
        <v>http://dx.doi.org/10.1242/jeb.096180</v>
      </c>
      <c r="G533" s="2" t="s">
        <v>200</v>
      </c>
      <c r="H533" s="2" t="s">
        <v>9817</v>
      </c>
      <c r="I533" s="2" t="s">
        <v>9818</v>
      </c>
      <c r="J533" s="2" t="s">
        <v>9819</v>
      </c>
      <c r="K533" s="2" t="s">
        <v>68</v>
      </c>
      <c r="L533" s="2" t="s">
        <v>9820</v>
      </c>
      <c r="M533" s="2" t="s">
        <v>9821</v>
      </c>
      <c r="N533" s="2" t="s">
        <v>9822</v>
      </c>
      <c r="O533" s="2" t="s">
        <v>9823</v>
      </c>
      <c r="P533" s="2" t="s">
        <v>9824</v>
      </c>
      <c r="Q533" s="2" t="s">
        <v>9825</v>
      </c>
      <c r="R533" s="2" t="s">
        <v>9826</v>
      </c>
      <c r="S533" s="2" t="s">
        <v>9827</v>
      </c>
      <c r="T533" s="2" t="s">
        <v>9828</v>
      </c>
      <c r="U533" s="2" t="s">
        <v>9829</v>
      </c>
      <c r="V533" s="2" t="s">
        <v>9830</v>
      </c>
      <c r="W533" s="2" t="s">
        <v>80</v>
      </c>
      <c r="X533" s="4">
        <v>77</v>
      </c>
      <c r="Y533" s="4">
        <v>21</v>
      </c>
      <c r="Z533" s="4">
        <v>22</v>
      </c>
      <c r="AA533" s="4">
        <v>2</v>
      </c>
      <c r="AB533" s="4">
        <v>41</v>
      </c>
      <c r="AC533" s="2" t="s">
        <v>9831</v>
      </c>
      <c r="AD533" s="2" t="s">
        <v>4613</v>
      </c>
      <c r="AE533" s="2" t="s">
        <v>9832</v>
      </c>
      <c r="AF533" s="2" t="s">
        <v>9833</v>
      </c>
      <c r="AG533" s="2" t="s">
        <v>9834</v>
      </c>
      <c r="AH533" s="2" t="s">
        <v>86</v>
      </c>
      <c r="AI533" s="2" t="s">
        <v>9835</v>
      </c>
      <c r="AJ533" s="2" t="s">
        <v>9836</v>
      </c>
      <c r="AK533" s="2" t="s">
        <v>89</v>
      </c>
      <c r="AL533" s="4">
        <v>2014</v>
      </c>
      <c r="AM533" s="4">
        <v>217</v>
      </c>
      <c r="AN533" s="4">
        <v>8</v>
      </c>
      <c r="AO533" s="2" t="s">
        <v>86</v>
      </c>
      <c r="AP533" s="2" t="s">
        <v>86</v>
      </c>
      <c r="AQ533" s="2" t="s">
        <v>86</v>
      </c>
      <c r="AR533" s="2" t="s">
        <v>86</v>
      </c>
      <c r="AS533" s="4">
        <v>1307</v>
      </c>
      <c r="AT533" s="4">
        <v>1315</v>
      </c>
      <c r="AU533" s="2" t="s">
        <v>86</v>
      </c>
      <c r="AV533" s="2" t="s">
        <v>86</v>
      </c>
      <c r="AW533" s="2" t="s">
        <v>86</v>
      </c>
      <c r="AX533" s="4">
        <v>9</v>
      </c>
      <c r="AY533" s="2" t="s">
        <v>3178</v>
      </c>
      <c r="AZ533" s="2" t="s">
        <v>92</v>
      </c>
      <c r="BA533" s="2" t="s">
        <v>3179</v>
      </c>
      <c r="BB533" s="2" t="s">
        <v>9837</v>
      </c>
      <c r="BC533" s="4">
        <v>24436380</v>
      </c>
      <c r="BD533" s="2" t="s">
        <v>659</v>
      </c>
      <c r="BE533" s="2" t="s">
        <v>86</v>
      </c>
      <c r="BF533" s="2" t="s">
        <v>86</v>
      </c>
      <c r="BG533" s="2" t="s">
        <v>95</v>
      </c>
      <c r="BH533" s="2" t="s">
        <v>9838</v>
      </c>
      <c r="BI533" s="2" t="str">
        <f>HYPERLINK("https%3A%2F%2Fwww.webofscience.com%2Fwos%2Fwoscc%2Ffull-record%2FWOS:000334673700018","View Full Record in Web of Science")</f>
        <v>View Full Record in Web of Science</v>
      </c>
    </row>
    <row r="534" spans="1:61" customFormat="1" ht="12.75" x14ac:dyDescent="0.2">
      <c r="A534" s="1">
        <v>531</v>
      </c>
      <c r="B534" s="1" t="s">
        <v>1068</v>
      </c>
      <c r="C534" s="1" t="s">
        <v>9839</v>
      </c>
      <c r="D534" s="2" t="s">
        <v>9840</v>
      </c>
      <c r="E534" s="2" t="s">
        <v>9841</v>
      </c>
      <c r="F534" s="3" t="str">
        <f>HYPERLINK("http://dx.doi.org/10.1007/s11356-022-21195-w","http://dx.doi.org/10.1007/s11356-022-21195-w")</f>
        <v>http://dx.doi.org/10.1007/s11356-022-21195-w</v>
      </c>
      <c r="G534" s="2" t="s">
        <v>200</v>
      </c>
      <c r="H534" s="2" t="s">
        <v>9842</v>
      </c>
      <c r="I534" s="2" t="s">
        <v>9843</v>
      </c>
      <c r="J534" s="2" t="s">
        <v>67</v>
      </c>
      <c r="K534" s="2" t="s">
        <v>68</v>
      </c>
      <c r="L534" s="2" t="s">
        <v>9844</v>
      </c>
      <c r="M534" s="2" t="s">
        <v>9845</v>
      </c>
      <c r="N534" s="2" t="s">
        <v>9846</v>
      </c>
      <c r="O534" s="2" t="s">
        <v>9847</v>
      </c>
      <c r="P534" s="2" t="s">
        <v>9848</v>
      </c>
      <c r="Q534" s="2" t="s">
        <v>9849</v>
      </c>
      <c r="R534" s="2" t="s">
        <v>9850</v>
      </c>
      <c r="S534" s="2" t="s">
        <v>9851</v>
      </c>
      <c r="T534" s="2" t="s">
        <v>86</v>
      </c>
      <c r="U534" s="2" t="s">
        <v>86</v>
      </c>
      <c r="V534" s="2" t="s">
        <v>86</v>
      </c>
      <c r="W534" s="2" t="s">
        <v>80</v>
      </c>
      <c r="X534" s="4">
        <v>55</v>
      </c>
      <c r="Y534" s="4">
        <v>2</v>
      </c>
      <c r="Z534" s="4">
        <v>2</v>
      </c>
      <c r="AA534" s="4">
        <v>12</v>
      </c>
      <c r="AB534" s="4">
        <v>34</v>
      </c>
      <c r="AC534" s="2" t="s">
        <v>81</v>
      </c>
      <c r="AD534" s="2" t="s">
        <v>82</v>
      </c>
      <c r="AE534" s="2" t="s">
        <v>83</v>
      </c>
      <c r="AF534" s="2" t="s">
        <v>84</v>
      </c>
      <c r="AG534" s="2" t="s">
        <v>85</v>
      </c>
      <c r="AH534" s="2" t="s">
        <v>86</v>
      </c>
      <c r="AI534" s="2" t="s">
        <v>87</v>
      </c>
      <c r="AJ534" s="2" t="s">
        <v>88</v>
      </c>
      <c r="AK534" s="2" t="s">
        <v>873</v>
      </c>
      <c r="AL534" s="4">
        <v>2022</v>
      </c>
      <c r="AM534" s="4">
        <v>29</v>
      </c>
      <c r="AN534" s="4">
        <v>50</v>
      </c>
      <c r="AO534" s="2" t="s">
        <v>86</v>
      </c>
      <c r="AP534" s="2" t="s">
        <v>86</v>
      </c>
      <c r="AQ534" s="2" t="s">
        <v>86</v>
      </c>
      <c r="AR534" s="2" t="s">
        <v>86</v>
      </c>
      <c r="AS534" s="4">
        <v>75870</v>
      </c>
      <c r="AT534" s="4">
        <v>75882</v>
      </c>
      <c r="AU534" s="2" t="s">
        <v>86</v>
      </c>
      <c r="AV534" s="2" t="s">
        <v>86</v>
      </c>
      <c r="AW534" s="2" t="s">
        <v>1289</v>
      </c>
      <c r="AX534" s="4">
        <v>13</v>
      </c>
      <c r="AY534" s="2" t="s">
        <v>91</v>
      </c>
      <c r="AZ534" s="2" t="s">
        <v>92</v>
      </c>
      <c r="BA534" s="2" t="s">
        <v>93</v>
      </c>
      <c r="BB534" s="2" t="s">
        <v>9852</v>
      </c>
      <c r="BC534" s="4">
        <v>35661310</v>
      </c>
      <c r="BD534" s="2" t="s">
        <v>86</v>
      </c>
      <c r="BE534" s="2" t="s">
        <v>86</v>
      </c>
      <c r="BF534" s="2" t="s">
        <v>86</v>
      </c>
      <c r="BG534" s="2" t="s">
        <v>95</v>
      </c>
      <c r="BH534" s="2" t="s">
        <v>9853</v>
      </c>
      <c r="BI534" s="2" t="str">
        <f>HYPERLINK("https%3A%2F%2Fwww.webofscience.com%2Fwos%2Fwoscc%2Ffull-record%2FWOS:000805747500001","View Full Record in Web of Science")</f>
        <v>View Full Record in Web of Science</v>
      </c>
    </row>
    <row r="535" spans="1:61" customFormat="1" ht="12.75" x14ac:dyDescent="0.2">
      <c r="A535" s="1">
        <v>532</v>
      </c>
      <c r="B535" s="1" t="s">
        <v>1068</v>
      </c>
      <c r="C535" s="1" t="s">
        <v>9854</v>
      </c>
      <c r="D535" s="2" t="s">
        <v>9855</v>
      </c>
      <c r="E535" s="2" t="s">
        <v>9856</v>
      </c>
      <c r="F535" s="3" t="str">
        <f>HYPERLINK("http://dx.doi.org/10.1016/j.marenvres.2020.105132","http://dx.doi.org/10.1016/j.marenvres.2020.105132")</f>
        <v>http://dx.doi.org/10.1016/j.marenvres.2020.105132</v>
      </c>
      <c r="G535" s="2" t="s">
        <v>200</v>
      </c>
      <c r="H535" s="2" t="s">
        <v>9857</v>
      </c>
      <c r="I535" s="2" t="s">
        <v>9858</v>
      </c>
      <c r="J535" s="2" t="s">
        <v>1696</v>
      </c>
      <c r="K535" s="2" t="s">
        <v>68</v>
      </c>
      <c r="L535" s="2" t="s">
        <v>9859</v>
      </c>
      <c r="M535" s="2" t="s">
        <v>9860</v>
      </c>
      <c r="N535" s="2" t="s">
        <v>9861</v>
      </c>
      <c r="O535" s="2" t="s">
        <v>9862</v>
      </c>
      <c r="P535" s="2" t="s">
        <v>1018</v>
      </c>
      <c r="Q535" s="2" t="s">
        <v>1019</v>
      </c>
      <c r="R535" s="2" t="s">
        <v>9863</v>
      </c>
      <c r="S535" s="2" t="s">
        <v>9864</v>
      </c>
      <c r="T535" s="2" t="s">
        <v>1022</v>
      </c>
      <c r="U535" s="2" t="s">
        <v>1023</v>
      </c>
      <c r="V535" s="2" t="s">
        <v>9865</v>
      </c>
      <c r="W535" s="2" t="s">
        <v>80</v>
      </c>
      <c r="X535" s="4">
        <v>39</v>
      </c>
      <c r="Y535" s="4">
        <v>17</v>
      </c>
      <c r="Z535" s="4">
        <v>17</v>
      </c>
      <c r="AA535" s="4">
        <v>5</v>
      </c>
      <c r="AB535" s="4">
        <v>39</v>
      </c>
      <c r="AC535" s="2" t="s">
        <v>114</v>
      </c>
      <c r="AD535" s="2" t="s">
        <v>115</v>
      </c>
      <c r="AE535" s="2" t="s">
        <v>116</v>
      </c>
      <c r="AF535" s="2" t="s">
        <v>1708</v>
      </c>
      <c r="AG535" s="2" t="s">
        <v>1709</v>
      </c>
      <c r="AH535" s="2" t="s">
        <v>86</v>
      </c>
      <c r="AI535" s="2" t="s">
        <v>1710</v>
      </c>
      <c r="AJ535" s="2" t="s">
        <v>1711</v>
      </c>
      <c r="AK535" s="2" t="s">
        <v>873</v>
      </c>
      <c r="AL535" s="4">
        <v>2020</v>
      </c>
      <c r="AM535" s="4">
        <v>161</v>
      </c>
      <c r="AN535" s="2" t="s">
        <v>86</v>
      </c>
      <c r="AO535" s="2" t="s">
        <v>86</v>
      </c>
      <c r="AP535" s="2" t="s">
        <v>86</v>
      </c>
      <c r="AQ535" s="2" t="s">
        <v>86</v>
      </c>
      <c r="AR535" s="2" t="s">
        <v>86</v>
      </c>
      <c r="AS535" s="2" t="s">
        <v>86</v>
      </c>
      <c r="AT535" s="2" t="s">
        <v>86</v>
      </c>
      <c r="AU535" s="4">
        <v>105132</v>
      </c>
      <c r="AV535" s="2" t="s">
        <v>86</v>
      </c>
      <c r="AW535" s="2" t="s">
        <v>86</v>
      </c>
      <c r="AX535" s="4">
        <v>9</v>
      </c>
      <c r="AY535" s="2" t="s">
        <v>1712</v>
      </c>
      <c r="AZ535" s="2" t="s">
        <v>92</v>
      </c>
      <c r="BA535" s="2" t="s">
        <v>1713</v>
      </c>
      <c r="BB535" s="2" t="s">
        <v>9866</v>
      </c>
      <c r="BC535" s="4">
        <v>32906061</v>
      </c>
      <c r="BD535" s="2" t="s">
        <v>497</v>
      </c>
      <c r="BE535" s="2" t="s">
        <v>86</v>
      </c>
      <c r="BF535" s="2" t="s">
        <v>86</v>
      </c>
      <c r="BG535" s="2" t="s">
        <v>95</v>
      </c>
      <c r="BH535" s="2" t="s">
        <v>9867</v>
      </c>
      <c r="BI535" s="2" t="str">
        <f>HYPERLINK("https%3A%2F%2Fwww.webofscience.com%2Fwos%2Fwoscc%2Ffull-record%2FWOS:000579495700009","View Full Record in Web of Science")</f>
        <v>View Full Record in Web of Science</v>
      </c>
    </row>
    <row r="536" spans="1:61" customFormat="1" ht="12.75" x14ac:dyDescent="0.2">
      <c r="A536" s="1">
        <v>533</v>
      </c>
      <c r="B536" s="1" t="s">
        <v>1068</v>
      </c>
      <c r="C536" s="1" t="s">
        <v>9868</v>
      </c>
      <c r="D536" s="2" t="s">
        <v>9869</v>
      </c>
      <c r="E536" s="2" t="s">
        <v>9870</v>
      </c>
      <c r="F536" s="3" t="str">
        <f>HYPERLINK("http://dx.doi.org/10.1080/10408398.2022.2031099","http://dx.doi.org/10.1080/10408398.2022.2031099")</f>
        <v>http://dx.doi.org/10.1080/10408398.2022.2031099</v>
      </c>
      <c r="G536" s="2" t="s">
        <v>248</v>
      </c>
      <c r="H536" s="2" t="s">
        <v>9871</v>
      </c>
      <c r="I536" s="2" t="s">
        <v>9872</v>
      </c>
      <c r="J536" s="2" t="s">
        <v>251</v>
      </c>
      <c r="K536" s="2" t="s">
        <v>68</v>
      </c>
      <c r="L536" s="2" t="s">
        <v>9873</v>
      </c>
      <c r="M536" s="2" t="s">
        <v>9874</v>
      </c>
      <c r="N536" s="2" t="s">
        <v>9875</v>
      </c>
      <c r="O536" s="2" t="s">
        <v>9876</v>
      </c>
      <c r="P536" s="2" t="s">
        <v>9877</v>
      </c>
      <c r="Q536" s="2" t="s">
        <v>9878</v>
      </c>
      <c r="R536" s="2" t="s">
        <v>9879</v>
      </c>
      <c r="S536" s="2" t="s">
        <v>9880</v>
      </c>
      <c r="T536" s="2" t="s">
        <v>9881</v>
      </c>
      <c r="U536" s="2" t="s">
        <v>9882</v>
      </c>
      <c r="V536" s="2" t="s">
        <v>9883</v>
      </c>
      <c r="W536" s="2" t="s">
        <v>80</v>
      </c>
      <c r="X536" s="4">
        <v>157</v>
      </c>
      <c r="Y536" s="4">
        <v>12</v>
      </c>
      <c r="Z536" s="4">
        <v>12</v>
      </c>
      <c r="AA536" s="4">
        <v>12</v>
      </c>
      <c r="AB536" s="4">
        <v>91</v>
      </c>
      <c r="AC536" s="2" t="s">
        <v>260</v>
      </c>
      <c r="AD536" s="2" t="s">
        <v>261</v>
      </c>
      <c r="AE536" s="2" t="s">
        <v>262</v>
      </c>
      <c r="AF536" s="2" t="s">
        <v>263</v>
      </c>
      <c r="AG536" s="2" t="s">
        <v>264</v>
      </c>
      <c r="AH536" s="2" t="s">
        <v>86</v>
      </c>
      <c r="AI536" s="2" t="s">
        <v>265</v>
      </c>
      <c r="AJ536" s="2" t="s">
        <v>266</v>
      </c>
      <c r="AK536" s="2" t="s">
        <v>9884</v>
      </c>
      <c r="AL536" s="4">
        <v>2022</v>
      </c>
      <c r="AM536" s="2" t="s">
        <v>86</v>
      </c>
      <c r="AN536" s="2" t="s">
        <v>86</v>
      </c>
      <c r="AO536" s="2" t="s">
        <v>86</v>
      </c>
      <c r="AP536" s="2" t="s">
        <v>86</v>
      </c>
      <c r="AQ536" s="2" t="s">
        <v>86</v>
      </c>
      <c r="AR536" s="2" t="s">
        <v>86</v>
      </c>
      <c r="AS536" s="2" t="s">
        <v>86</v>
      </c>
      <c r="AT536" s="2" t="s">
        <v>86</v>
      </c>
      <c r="AU536" s="2" t="s">
        <v>86</v>
      </c>
      <c r="AV536" s="2" t="s">
        <v>86</v>
      </c>
      <c r="AW536" s="2" t="s">
        <v>268</v>
      </c>
      <c r="AX536" s="4">
        <v>19</v>
      </c>
      <c r="AY536" s="2" t="s">
        <v>269</v>
      </c>
      <c r="AZ536" s="2" t="s">
        <v>92</v>
      </c>
      <c r="BA536" s="2" t="s">
        <v>269</v>
      </c>
      <c r="BB536" s="2" t="s">
        <v>9885</v>
      </c>
      <c r="BC536" s="4">
        <v>35089844</v>
      </c>
      <c r="BD536" s="2" t="s">
        <v>86</v>
      </c>
      <c r="BE536" s="2" t="s">
        <v>86</v>
      </c>
      <c r="BF536" s="2" t="s">
        <v>86</v>
      </c>
      <c r="BG536" s="2" t="s">
        <v>95</v>
      </c>
      <c r="BH536" s="2" t="s">
        <v>9886</v>
      </c>
      <c r="BI536" s="2" t="str">
        <f>HYPERLINK("https%3A%2F%2Fwww.webofscience.com%2Fwos%2Fwoscc%2Ffull-record%2FWOS:000748202200001","View Full Record in Web of Science")</f>
        <v>View Full Record in Web of Science</v>
      </c>
    </row>
    <row r="537" spans="1:61" customFormat="1" ht="12.75" x14ac:dyDescent="0.2">
      <c r="A537" s="1">
        <v>534</v>
      </c>
      <c r="B537" s="1" t="s">
        <v>1068</v>
      </c>
      <c r="C537" s="1" t="s">
        <v>9887</v>
      </c>
      <c r="D537" s="2" t="s">
        <v>9888</v>
      </c>
      <c r="E537" s="2" t="s">
        <v>9889</v>
      </c>
      <c r="F537" s="3" t="str">
        <f>HYPERLINK("http://dx.doi.org/10.1016/S1051-0443(98)70429-4","http://dx.doi.org/10.1016/S1051-0443(98)70429-4")</f>
        <v>http://dx.doi.org/10.1016/S1051-0443(98)70429-4</v>
      </c>
      <c r="G537" s="2" t="s">
        <v>200</v>
      </c>
      <c r="H537" s="2" t="s">
        <v>9890</v>
      </c>
      <c r="I537" s="2" t="s">
        <v>9890</v>
      </c>
      <c r="J537" s="2" t="s">
        <v>9891</v>
      </c>
      <c r="K537" s="2" t="s">
        <v>68</v>
      </c>
      <c r="L537" s="2" t="s">
        <v>9892</v>
      </c>
      <c r="M537" s="2" t="s">
        <v>9893</v>
      </c>
      <c r="N537" s="2" t="s">
        <v>9894</v>
      </c>
      <c r="O537" s="2" t="s">
        <v>9895</v>
      </c>
      <c r="P537" s="2" t="s">
        <v>9896</v>
      </c>
      <c r="Q537" s="2" t="s">
        <v>86</v>
      </c>
      <c r="R537" s="2" t="s">
        <v>9897</v>
      </c>
      <c r="S537" s="2" t="s">
        <v>9898</v>
      </c>
      <c r="T537" s="2" t="s">
        <v>9899</v>
      </c>
      <c r="U537" s="2" t="s">
        <v>9900</v>
      </c>
      <c r="V537" s="2" t="s">
        <v>86</v>
      </c>
      <c r="W537" s="2" t="s">
        <v>80</v>
      </c>
      <c r="X537" s="4">
        <v>31</v>
      </c>
      <c r="Y537" s="4">
        <v>50</v>
      </c>
      <c r="Z537" s="4">
        <v>48</v>
      </c>
      <c r="AA537" s="4">
        <v>0</v>
      </c>
      <c r="AB537" s="4">
        <v>2</v>
      </c>
      <c r="AC537" s="2" t="s">
        <v>5944</v>
      </c>
      <c r="AD537" s="2" t="s">
        <v>261</v>
      </c>
      <c r="AE537" s="2" t="s">
        <v>9901</v>
      </c>
      <c r="AF537" s="2" t="s">
        <v>9902</v>
      </c>
      <c r="AG537" s="2" t="s">
        <v>86</v>
      </c>
      <c r="AH537" s="2" t="s">
        <v>86</v>
      </c>
      <c r="AI537" s="2" t="s">
        <v>9903</v>
      </c>
      <c r="AJ537" s="2" t="s">
        <v>9904</v>
      </c>
      <c r="AK537" s="2" t="s">
        <v>5320</v>
      </c>
      <c r="AL537" s="4">
        <v>1998</v>
      </c>
      <c r="AM537" s="4">
        <v>9</v>
      </c>
      <c r="AN537" s="4">
        <v>6</v>
      </c>
      <c r="AO537" s="2" t="s">
        <v>86</v>
      </c>
      <c r="AP537" s="2" t="s">
        <v>86</v>
      </c>
      <c r="AQ537" s="2" t="s">
        <v>86</v>
      </c>
      <c r="AR537" s="2" t="s">
        <v>86</v>
      </c>
      <c r="AS537" s="4">
        <v>953</v>
      </c>
      <c r="AT537" s="4">
        <v>959</v>
      </c>
      <c r="AU537" s="2" t="s">
        <v>86</v>
      </c>
      <c r="AV537" s="2" t="s">
        <v>86</v>
      </c>
      <c r="AW537" s="2" t="s">
        <v>86</v>
      </c>
      <c r="AX537" s="4">
        <v>7</v>
      </c>
      <c r="AY537" s="2" t="s">
        <v>9905</v>
      </c>
      <c r="AZ537" s="2" t="s">
        <v>92</v>
      </c>
      <c r="BA537" s="2" t="s">
        <v>9906</v>
      </c>
      <c r="BB537" s="2" t="s">
        <v>9907</v>
      </c>
      <c r="BC537" s="4">
        <v>9840040</v>
      </c>
      <c r="BD537" s="2" t="s">
        <v>9908</v>
      </c>
      <c r="BE537" s="2" t="s">
        <v>86</v>
      </c>
      <c r="BF537" s="2" t="s">
        <v>86</v>
      </c>
      <c r="BG537" s="2" t="s">
        <v>95</v>
      </c>
      <c r="BH537" s="2" t="s">
        <v>9909</v>
      </c>
      <c r="BI537" s="2" t="str">
        <f>HYPERLINK("https%3A%2F%2Fwww.webofscience.com%2Fwos%2Fwoscc%2Ffull-record%2FWOS:000077125300013","View Full Record in Web of Science")</f>
        <v>View Full Record in Web of Science</v>
      </c>
    </row>
    <row r="538" spans="1:61" customFormat="1" ht="12.75" x14ac:dyDescent="0.2">
      <c r="A538" s="1">
        <v>535</v>
      </c>
      <c r="B538" s="1" t="s">
        <v>1068</v>
      </c>
      <c r="C538" s="1" t="s">
        <v>9910</v>
      </c>
      <c r="D538" s="2" t="s">
        <v>9911</v>
      </c>
      <c r="E538" s="2" t="s">
        <v>9912</v>
      </c>
      <c r="F538" s="3" t="str">
        <f>HYPERLINK("http://dx.doi.org/10.1016/j.bjps.2019.05.042","http://dx.doi.org/10.1016/j.bjps.2019.05.042")</f>
        <v>http://dx.doi.org/10.1016/j.bjps.2019.05.042</v>
      </c>
      <c r="G538" s="2" t="s">
        <v>200</v>
      </c>
      <c r="H538" s="2" t="s">
        <v>9913</v>
      </c>
      <c r="I538" s="2" t="s">
        <v>9914</v>
      </c>
      <c r="J538" s="2" t="s">
        <v>7742</v>
      </c>
      <c r="K538" s="2" t="s">
        <v>68</v>
      </c>
      <c r="L538" s="2" t="s">
        <v>9915</v>
      </c>
      <c r="M538" s="2" t="s">
        <v>9916</v>
      </c>
      <c r="N538" s="2" t="s">
        <v>9917</v>
      </c>
      <c r="O538" s="2" t="s">
        <v>9918</v>
      </c>
      <c r="P538" s="2" t="s">
        <v>9919</v>
      </c>
      <c r="Q538" s="2" t="s">
        <v>9920</v>
      </c>
      <c r="R538" s="2" t="s">
        <v>9921</v>
      </c>
      <c r="S538" s="2" t="s">
        <v>9922</v>
      </c>
      <c r="T538" s="2" t="s">
        <v>9923</v>
      </c>
      <c r="U538" s="2" t="s">
        <v>9924</v>
      </c>
      <c r="V538" s="2" t="s">
        <v>9925</v>
      </c>
      <c r="W538" s="2" t="s">
        <v>80</v>
      </c>
      <c r="X538" s="4">
        <v>79</v>
      </c>
      <c r="Y538" s="4">
        <v>5</v>
      </c>
      <c r="Z538" s="4">
        <v>6</v>
      </c>
      <c r="AA538" s="4">
        <v>0</v>
      </c>
      <c r="AB538" s="4">
        <v>2</v>
      </c>
      <c r="AC538" s="2" t="s">
        <v>114</v>
      </c>
      <c r="AD538" s="2" t="s">
        <v>115</v>
      </c>
      <c r="AE538" s="2" t="s">
        <v>116</v>
      </c>
      <c r="AF538" s="2" t="s">
        <v>7751</v>
      </c>
      <c r="AG538" s="2" t="s">
        <v>7752</v>
      </c>
      <c r="AH538" s="2" t="s">
        <v>86</v>
      </c>
      <c r="AI538" s="2" t="s">
        <v>7753</v>
      </c>
      <c r="AJ538" s="2" t="s">
        <v>7754</v>
      </c>
      <c r="AK538" s="2" t="s">
        <v>873</v>
      </c>
      <c r="AL538" s="4">
        <v>2019</v>
      </c>
      <c r="AM538" s="4">
        <v>72</v>
      </c>
      <c r="AN538" s="4">
        <v>10</v>
      </c>
      <c r="AO538" s="2" t="s">
        <v>86</v>
      </c>
      <c r="AP538" s="2" t="s">
        <v>86</v>
      </c>
      <c r="AQ538" s="2" t="s">
        <v>86</v>
      </c>
      <c r="AR538" s="2" t="s">
        <v>86</v>
      </c>
      <c r="AS538" s="4">
        <v>1640</v>
      </c>
      <c r="AT538" s="4">
        <v>1650</v>
      </c>
      <c r="AU538" s="2" t="s">
        <v>86</v>
      </c>
      <c r="AV538" s="2" t="s">
        <v>86</v>
      </c>
      <c r="AW538" s="2" t="s">
        <v>86</v>
      </c>
      <c r="AX538" s="4">
        <v>11</v>
      </c>
      <c r="AY538" s="2" t="s">
        <v>5289</v>
      </c>
      <c r="AZ538" s="2" t="s">
        <v>92</v>
      </c>
      <c r="BA538" s="2" t="s">
        <v>5289</v>
      </c>
      <c r="BB538" s="2" t="s">
        <v>9926</v>
      </c>
      <c r="BC538" s="4">
        <v>31377202</v>
      </c>
      <c r="BD538" s="2" t="s">
        <v>1491</v>
      </c>
      <c r="BE538" s="2" t="s">
        <v>86</v>
      </c>
      <c r="BF538" s="2" t="s">
        <v>86</v>
      </c>
      <c r="BG538" s="2" t="s">
        <v>95</v>
      </c>
      <c r="BH538" s="2" t="s">
        <v>9927</v>
      </c>
      <c r="BI538" s="2" t="str">
        <f>HYPERLINK("https%3A%2F%2Fwww.webofscience.com%2Fwos%2Fwoscc%2Ffull-record%2FWOS:000488771600005","View Full Record in Web of Science")</f>
        <v>View Full Record in Web of Science</v>
      </c>
    </row>
    <row r="539" spans="1:61" customFormat="1" ht="12.75" x14ac:dyDescent="0.2">
      <c r="A539" s="1">
        <v>536</v>
      </c>
      <c r="B539" s="1" t="s">
        <v>1068</v>
      </c>
      <c r="C539" s="1" t="s">
        <v>9928</v>
      </c>
      <c r="D539" s="2" t="s">
        <v>9929</v>
      </c>
      <c r="E539" s="2" t="s">
        <v>9930</v>
      </c>
      <c r="F539" s="3" t="str">
        <f>HYPERLINK("http://dx.doi.org/10.1080/19440049.2016.1184493","http://dx.doi.org/10.1080/19440049.2016.1184493")</f>
        <v>http://dx.doi.org/10.1080/19440049.2016.1184493</v>
      </c>
      <c r="G539" s="2" t="s">
        <v>200</v>
      </c>
      <c r="H539" s="2" t="s">
        <v>9931</v>
      </c>
      <c r="I539" s="2" t="s">
        <v>9932</v>
      </c>
      <c r="J539" s="2" t="s">
        <v>1146</v>
      </c>
      <c r="K539" s="2" t="s">
        <v>68</v>
      </c>
      <c r="L539" s="2" t="s">
        <v>9933</v>
      </c>
      <c r="M539" s="2" t="s">
        <v>9934</v>
      </c>
      <c r="N539" s="2" t="s">
        <v>9935</v>
      </c>
      <c r="O539" s="2" t="s">
        <v>9936</v>
      </c>
      <c r="P539" s="2" t="s">
        <v>9937</v>
      </c>
      <c r="Q539" s="2" t="s">
        <v>9938</v>
      </c>
      <c r="R539" s="2" t="s">
        <v>86</v>
      </c>
      <c r="S539" s="2" t="s">
        <v>86</v>
      </c>
      <c r="T539" s="2" t="s">
        <v>86</v>
      </c>
      <c r="U539" s="2" t="s">
        <v>86</v>
      </c>
      <c r="V539" s="2" t="s">
        <v>86</v>
      </c>
      <c r="W539" s="2" t="s">
        <v>80</v>
      </c>
      <c r="X539" s="4">
        <v>16</v>
      </c>
      <c r="Y539" s="4">
        <v>20</v>
      </c>
      <c r="Z539" s="4">
        <v>22</v>
      </c>
      <c r="AA539" s="4">
        <v>1</v>
      </c>
      <c r="AB539" s="4">
        <v>20</v>
      </c>
      <c r="AC539" s="2" t="s">
        <v>286</v>
      </c>
      <c r="AD539" s="2" t="s">
        <v>287</v>
      </c>
      <c r="AE539" s="2" t="s">
        <v>288</v>
      </c>
      <c r="AF539" s="2" t="s">
        <v>1155</v>
      </c>
      <c r="AG539" s="2" t="s">
        <v>1156</v>
      </c>
      <c r="AH539" s="2" t="s">
        <v>86</v>
      </c>
      <c r="AI539" s="2" t="s">
        <v>1157</v>
      </c>
      <c r="AJ539" s="2" t="s">
        <v>1158</v>
      </c>
      <c r="AK539" s="2" t="s">
        <v>86</v>
      </c>
      <c r="AL539" s="4">
        <v>2016</v>
      </c>
      <c r="AM539" s="4">
        <v>33</v>
      </c>
      <c r="AN539" s="4">
        <v>6</v>
      </c>
      <c r="AO539" s="2" t="s">
        <v>86</v>
      </c>
      <c r="AP539" s="2" t="s">
        <v>86</v>
      </c>
      <c r="AQ539" s="2" t="s">
        <v>86</v>
      </c>
      <c r="AR539" s="2" t="s">
        <v>86</v>
      </c>
      <c r="AS539" s="4">
        <v>1072</v>
      </c>
      <c r="AT539" s="4">
        <v>1079</v>
      </c>
      <c r="AU539" s="2" t="s">
        <v>86</v>
      </c>
      <c r="AV539" s="2" t="s">
        <v>86</v>
      </c>
      <c r="AW539" s="2" t="s">
        <v>86</v>
      </c>
      <c r="AX539" s="4">
        <v>8</v>
      </c>
      <c r="AY539" s="2" t="s">
        <v>1161</v>
      </c>
      <c r="AZ539" s="2" t="s">
        <v>92</v>
      </c>
      <c r="BA539" s="2" t="s">
        <v>1162</v>
      </c>
      <c r="BB539" s="2" t="s">
        <v>9939</v>
      </c>
      <c r="BC539" s="4">
        <v>27146949</v>
      </c>
      <c r="BD539" s="2" t="s">
        <v>9940</v>
      </c>
      <c r="BE539" s="2" t="s">
        <v>86</v>
      </c>
      <c r="BF539" s="2" t="s">
        <v>86</v>
      </c>
      <c r="BG539" s="2" t="s">
        <v>95</v>
      </c>
      <c r="BH539" s="2" t="s">
        <v>9941</v>
      </c>
      <c r="BI539" s="2" t="str">
        <f>HYPERLINK("https%3A%2F%2Fwww.webofscience.com%2Fwos%2Fwoscc%2Ffull-record%2FWOS:000380137500017","View Full Record in Web of Science")</f>
        <v>View Full Record in Web of Science</v>
      </c>
    </row>
    <row r="540" spans="1:61" customFormat="1" ht="12.75" x14ac:dyDescent="0.2">
      <c r="A540" s="1">
        <v>537</v>
      </c>
      <c r="B540" s="1" t="s">
        <v>1068</v>
      </c>
      <c r="C540" s="1" t="s">
        <v>9942</v>
      </c>
      <c r="D540" s="2" t="s">
        <v>9943</v>
      </c>
      <c r="E540" s="2" t="s">
        <v>9944</v>
      </c>
      <c r="F540" s="3" t="str">
        <f>HYPERLINK("http://dx.doi.org/10.1007/s12221-023-00224-6","http://dx.doi.org/10.1007/s12221-023-00224-6")</f>
        <v>http://dx.doi.org/10.1007/s12221-023-00224-6</v>
      </c>
      <c r="G540" s="2" t="s">
        <v>248</v>
      </c>
      <c r="H540" s="2" t="s">
        <v>9945</v>
      </c>
      <c r="I540" s="2" t="s">
        <v>9946</v>
      </c>
      <c r="J540" s="2" t="s">
        <v>4284</v>
      </c>
      <c r="K540" s="2" t="s">
        <v>68</v>
      </c>
      <c r="L540" s="2" t="s">
        <v>9947</v>
      </c>
      <c r="M540" s="2" t="s">
        <v>9948</v>
      </c>
      <c r="N540" s="2" t="s">
        <v>9949</v>
      </c>
      <c r="O540" s="2" t="s">
        <v>9950</v>
      </c>
      <c r="P540" s="2" t="s">
        <v>9951</v>
      </c>
      <c r="Q540" s="2" t="s">
        <v>9952</v>
      </c>
      <c r="R540" s="2" t="s">
        <v>9953</v>
      </c>
      <c r="S540" s="2" t="s">
        <v>9954</v>
      </c>
      <c r="T540" s="2" t="s">
        <v>9955</v>
      </c>
      <c r="U540" s="2" t="s">
        <v>9956</v>
      </c>
      <c r="V540" s="2" t="s">
        <v>9957</v>
      </c>
      <c r="W540" s="2" t="s">
        <v>80</v>
      </c>
      <c r="X540" s="4">
        <v>159</v>
      </c>
      <c r="Y540" s="4">
        <v>0</v>
      </c>
      <c r="Z540" s="4">
        <v>0</v>
      </c>
      <c r="AA540" s="4">
        <v>1</v>
      </c>
      <c r="AB540" s="4">
        <v>1</v>
      </c>
      <c r="AC540" s="2" t="s">
        <v>4296</v>
      </c>
      <c r="AD540" s="2" t="s">
        <v>4297</v>
      </c>
      <c r="AE540" s="2" t="s">
        <v>4298</v>
      </c>
      <c r="AF540" s="2" t="s">
        <v>4299</v>
      </c>
      <c r="AG540" s="2" t="s">
        <v>4300</v>
      </c>
      <c r="AH540" s="2" t="s">
        <v>86</v>
      </c>
      <c r="AI540" s="2" t="s">
        <v>4301</v>
      </c>
      <c r="AJ540" s="2" t="s">
        <v>4302</v>
      </c>
      <c r="AK540" s="2" t="s">
        <v>9958</v>
      </c>
      <c r="AL540" s="4">
        <v>2023</v>
      </c>
      <c r="AM540" s="2" t="s">
        <v>86</v>
      </c>
      <c r="AN540" s="2" t="s">
        <v>86</v>
      </c>
      <c r="AO540" s="2" t="s">
        <v>86</v>
      </c>
      <c r="AP540" s="2" t="s">
        <v>86</v>
      </c>
      <c r="AQ540" s="2" t="s">
        <v>86</v>
      </c>
      <c r="AR540" s="2" t="s">
        <v>86</v>
      </c>
      <c r="AS540" s="2" t="s">
        <v>86</v>
      </c>
      <c r="AT540" s="2" t="s">
        <v>86</v>
      </c>
      <c r="AU540" s="2" t="s">
        <v>86</v>
      </c>
      <c r="AV540" s="2" t="s">
        <v>86</v>
      </c>
      <c r="AW540" s="2" t="s">
        <v>9959</v>
      </c>
      <c r="AX540" s="4">
        <v>15</v>
      </c>
      <c r="AY540" s="2" t="s">
        <v>4303</v>
      </c>
      <c r="AZ540" s="2" t="s">
        <v>92</v>
      </c>
      <c r="BA540" s="2" t="s">
        <v>4304</v>
      </c>
      <c r="BB540" s="2" t="s">
        <v>9960</v>
      </c>
      <c r="BC540" s="2" t="s">
        <v>86</v>
      </c>
      <c r="BD540" s="2" t="s">
        <v>86</v>
      </c>
      <c r="BE540" s="2" t="s">
        <v>86</v>
      </c>
      <c r="BF540" s="2" t="s">
        <v>86</v>
      </c>
      <c r="BG540" s="2" t="s">
        <v>95</v>
      </c>
      <c r="BH540" s="2" t="s">
        <v>9961</v>
      </c>
      <c r="BI540" s="2" t="str">
        <f>HYPERLINK("https%3A%2F%2Fwww.webofscience.com%2Fwos%2Fwoscc%2Ffull-record%2FWOS:001022788100001","View Full Record in Web of Science")</f>
        <v>View Full Record in Web of Science</v>
      </c>
    </row>
    <row r="541" spans="1:61" customFormat="1" ht="12.75" x14ac:dyDescent="0.2">
      <c r="A541" s="1">
        <v>538</v>
      </c>
      <c r="B541" s="1" t="s">
        <v>1068</v>
      </c>
      <c r="C541" s="1" t="s">
        <v>9962</v>
      </c>
      <c r="D541" s="2" t="s">
        <v>9963</v>
      </c>
      <c r="E541" s="2" t="s">
        <v>9964</v>
      </c>
      <c r="F541" s="3" t="str">
        <f>HYPERLINK("http://dx.doi.org/10.1016/j.marenvres.2022.105794","http://dx.doi.org/10.1016/j.marenvres.2022.105794")</f>
        <v>http://dx.doi.org/10.1016/j.marenvres.2022.105794</v>
      </c>
      <c r="G541" s="2" t="s">
        <v>200</v>
      </c>
      <c r="H541" s="2" t="s">
        <v>9965</v>
      </c>
      <c r="I541" s="2" t="s">
        <v>9966</v>
      </c>
      <c r="J541" s="2" t="s">
        <v>1696</v>
      </c>
      <c r="K541" s="2" t="s">
        <v>68</v>
      </c>
      <c r="L541" s="2" t="s">
        <v>9967</v>
      </c>
      <c r="M541" s="2" t="s">
        <v>9968</v>
      </c>
      <c r="N541" s="2" t="s">
        <v>9969</v>
      </c>
      <c r="O541" s="2" t="s">
        <v>9970</v>
      </c>
      <c r="P541" s="2" t="s">
        <v>9971</v>
      </c>
      <c r="Q541" s="2" t="s">
        <v>9972</v>
      </c>
      <c r="R541" s="2" t="s">
        <v>9973</v>
      </c>
      <c r="S541" s="2" t="s">
        <v>9974</v>
      </c>
      <c r="T541" s="2" t="s">
        <v>9975</v>
      </c>
      <c r="U541" s="2" t="s">
        <v>9976</v>
      </c>
      <c r="V541" s="2" t="s">
        <v>9977</v>
      </c>
      <c r="W541" s="2" t="s">
        <v>80</v>
      </c>
      <c r="X541" s="4">
        <v>77</v>
      </c>
      <c r="Y541" s="4">
        <v>3</v>
      </c>
      <c r="Z541" s="4">
        <v>3</v>
      </c>
      <c r="AA541" s="4">
        <v>5</v>
      </c>
      <c r="AB541" s="4">
        <v>7</v>
      </c>
      <c r="AC541" s="2" t="s">
        <v>114</v>
      </c>
      <c r="AD541" s="2" t="s">
        <v>115</v>
      </c>
      <c r="AE541" s="2" t="s">
        <v>116</v>
      </c>
      <c r="AF541" s="2" t="s">
        <v>1708</v>
      </c>
      <c r="AG541" s="2" t="s">
        <v>1709</v>
      </c>
      <c r="AH541" s="2" t="s">
        <v>86</v>
      </c>
      <c r="AI541" s="2" t="s">
        <v>1710</v>
      </c>
      <c r="AJ541" s="2" t="s">
        <v>1711</v>
      </c>
      <c r="AK541" s="2" t="s">
        <v>534</v>
      </c>
      <c r="AL541" s="4">
        <v>2023</v>
      </c>
      <c r="AM541" s="4">
        <v>183</v>
      </c>
      <c r="AN541" s="2" t="s">
        <v>86</v>
      </c>
      <c r="AO541" s="2" t="s">
        <v>86</v>
      </c>
      <c r="AP541" s="2" t="s">
        <v>86</v>
      </c>
      <c r="AQ541" s="2" t="s">
        <v>86</v>
      </c>
      <c r="AR541" s="2" t="s">
        <v>86</v>
      </c>
      <c r="AS541" s="2" t="s">
        <v>86</v>
      </c>
      <c r="AT541" s="2" t="s">
        <v>86</v>
      </c>
      <c r="AU541" s="4">
        <v>105794</v>
      </c>
      <c r="AV541" s="2" t="s">
        <v>86</v>
      </c>
      <c r="AW541" s="2" t="s">
        <v>1911</v>
      </c>
      <c r="AX541" s="4">
        <v>13</v>
      </c>
      <c r="AY541" s="2" t="s">
        <v>1712</v>
      </c>
      <c r="AZ541" s="2" t="s">
        <v>92</v>
      </c>
      <c r="BA541" s="2" t="s">
        <v>1713</v>
      </c>
      <c r="BB541" s="2" t="s">
        <v>9978</v>
      </c>
      <c r="BC541" s="4">
        <v>36399938</v>
      </c>
      <c r="BD541" s="2" t="s">
        <v>86</v>
      </c>
      <c r="BE541" s="2" t="s">
        <v>86</v>
      </c>
      <c r="BF541" s="2" t="s">
        <v>86</v>
      </c>
      <c r="BG541" s="2" t="s">
        <v>95</v>
      </c>
      <c r="BH541" s="2" t="s">
        <v>9979</v>
      </c>
      <c r="BI541" s="2" t="str">
        <f>HYPERLINK("https%3A%2F%2Fwww.webofscience.com%2Fwos%2Fwoscc%2Ffull-record%2FWOS:000891818000009","View Full Record in Web of Science")</f>
        <v>View Full Record in Web of Science</v>
      </c>
    </row>
    <row r="542" spans="1:61" customFormat="1" ht="12.75" x14ac:dyDescent="0.2">
      <c r="A542" s="1">
        <v>539</v>
      </c>
      <c r="B542" s="1" t="s">
        <v>1068</v>
      </c>
      <c r="C542" s="1" t="s">
        <v>9980</v>
      </c>
      <c r="D542" s="2" t="s">
        <v>9981</v>
      </c>
      <c r="E542" s="2" t="s">
        <v>9982</v>
      </c>
      <c r="F542" s="3" t="str">
        <f>HYPERLINK("http://dx.doi.org/10.1016/j.envpol.2004.02.026","http://dx.doi.org/10.1016/j.envpol.2004.02.026")</f>
        <v>http://dx.doi.org/10.1016/j.envpol.2004.02.026</v>
      </c>
      <c r="G542" s="2" t="s">
        <v>200</v>
      </c>
      <c r="H542" s="2" t="s">
        <v>9983</v>
      </c>
      <c r="I542" s="2" t="s">
        <v>9983</v>
      </c>
      <c r="J542" s="2" t="s">
        <v>102</v>
      </c>
      <c r="K542" s="2" t="s">
        <v>68</v>
      </c>
      <c r="L542" s="2" t="s">
        <v>9984</v>
      </c>
      <c r="M542" s="2" t="s">
        <v>9985</v>
      </c>
      <c r="N542" s="2" t="s">
        <v>9986</v>
      </c>
      <c r="O542" s="2" t="s">
        <v>9987</v>
      </c>
      <c r="P542" s="2" t="s">
        <v>9988</v>
      </c>
      <c r="Q542" s="2" t="s">
        <v>9989</v>
      </c>
      <c r="R542" s="2" t="s">
        <v>86</v>
      </c>
      <c r="S542" s="2" t="s">
        <v>86</v>
      </c>
      <c r="T542" s="2" t="s">
        <v>86</v>
      </c>
      <c r="U542" s="2" t="s">
        <v>86</v>
      </c>
      <c r="V542" s="2" t="s">
        <v>86</v>
      </c>
      <c r="W542" s="2" t="s">
        <v>80</v>
      </c>
      <c r="X542" s="4">
        <v>33</v>
      </c>
      <c r="Y542" s="4">
        <v>4</v>
      </c>
      <c r="Z542" s="4">
        <v>5</v>
      </c>
      <c r="AA542" s="4">
        <v>0</v>
      </c>
      <c r="AB542" s="4">
        <v>12</v>
      </c>
      <c r="AC542" s="2" t="s">
        <v>114</v>
      </c>
      <c r="AD542" s="2" t="s">
        <v>115</v>
      </c>
      <c r="AE542" s="2" t="s">
        <v>116</v>
      </c>
      <c r="AF542" s="2" t="s">
        <v>117</v>
      </c>
      <c r="AG542" s="2" t="s">
        <v>118</v>
      </c>
      <c r="AH542" s="2" t="s">
        <v>86</v>
      </c>
      <c r="AI542" s="2" t="s">
        <v>119</v>
      </c>
      <c r="AJ542" s="2" t="s">
        <v>120</v>
      </c>
      <c r="AK542" s="2" t="s">
        <v>440</v>
      </c>
      <c r="AL542" s="4">
        <v>2004</v>
      </c>
      <c r="AM542" s="4">
        <v>131</v>
      </c>
      <c r="AN542" s="4">
        <v>1</v>
      </c>
      <c r="AO542" s="2" t="s">
        <v>86</v>
      </c>
      <c r="AP542" s="2" t="s">
        <v>86</v>
      </c>
      <c r="AQ542" s="2" t="s">
        <v>86</v>
      </c>
      <c r="AR542" s="2" t="s">
        <v>86</v>
      </c>
      <c r="AS542" s="4">
        <v>61</v>
      </c>
      <c r="AT542" s="4">
        <v>70</v>
      </c>
      <c r="AU542" s="2" t="s">
        <v>86</v>
      </c>
      <c r="AV542" s="2" t="s">
        <v>86</v>
      </c>
      <c r="AW542" s="2" t="s">
        <v>86</v>
      </c>
      <c r="AX542" s="4">
        <v>10</v>
      </c>
      <c r="AY542" s="2" t="s">
        <v>91</v>
      </c>
      <c r="AZ542" s="2" t="s">
        <v>92</v>
      </c>
      <c r="BA542" s="2" t="s">
        <v>93</v>
      </c>
      <c r="BB542" s="2" t="s">
        <v>9990</v>
      </c>
      <c r="BC542" s="4">
        <v>15210276</v>
      </c>
      <c r="BD542" s="2" t="s">
        <v>86</v>
      </c>
      <c r="BE542" s="2" t="s">
        <v>86</v>
      </c>
      <c r="BF542" s="2" t="s">
        <v>86</v>
      </c>
      <c r="BG542" s="2" t="s">
        <v>95</v>
      </c>
      <c r="BH542" s="2" t="s">
        <v>9991</v>
      </c>
      <c r="BI542" s="2" t="str">
        <f>HYPERLINK("https%3A%2F%2Fwww.webofscience.com%2Fwos%2Fwoscc%2Ffull-record%2FWOS:000222560700007","View Full Record in Web of Science")</f>
        <v>View Full Record in Web of Science</v>
      </c>
    </row>
    <row r="543" spans="1:61" customFormat="1" ht="12.75" x14ac:dyDescent="0.2">
      <c r="A543" s="1">
        <v>540</v>
      </c>
      <c r="B543" s="1" t="s">
        <v>1068</v>
      </c>
      <c r="C543" s="1" t="s">
        <v>9992</v>
      </c>
      <c r="D543" s="2" t="s">
        <v>9993</v>
      </c>
      <c r="E543" s="2" t="s">
        <v>9994</v>
      </c>
      <c r="F543" s="3" t="str">
        <f>HYPERLINK("http://dx.doi.org/10.1007/s13355-022-00810-9","http://dx.doi.org/10.1007/s13355-022-00810-9")</f>
        <v>http://dx.doi.org/10.1007/s13355-022-00810-9</v>
      </c>
      <c r="G543" s="2" t="s">
        <v>61</v>
      </c>
      <c r="H543" s="2" t="s">
        <v>9995</v>
      </c>
      <c r="I543" s="2" t="s">
        <v>9996</v>
      </c>
      <c r="J543" s="2" t="s">
        <v>9997</v>
      </c>
      <c r="K543" s="2" t="s">
        <v>68</v>
      </c>
      <c r="L543" s="2" t="s">
        <v>9998</v>
      </c>
      <c r="M543" s="2" t="s">
        <v>9999</v>
      </c>
      <c r="N543" s="2" t="s">
        <v>10000</v>
      </c>
      <c r="O543" s="2" t="s">
        <v>10001</v>
      </c>
      <c r="P543" s="2" t="s">
        <v>10002</v>
      </c>
      <c r="Q543" s="2" t="s">
        <v>10003</v>
      </c>
      <c r="R543" s="2" t="s">
        <v>10004</v>
      </c>
      <c r="S543" s="2" t="s">
        <v>10005</v>
      </c>
      <c r="T543" s="2" t="s">
        <v>10006</v>
      </c>
      <c r="U543" s="2" t="s">
        <v>10007</v>
      </c>
      <c r="V543" s="2" t="s">
        <v>10008</v>
      </c>
      <c r="W543" s="2" t="s">
        <v>80</v>
      </c>
      <c r="X543" s="4">
        <v>85</v>
      </c>
      <c r="Y543" s="4">
        <v>2</v>
      </c>
      <c r="Z543" s="4">
        <v>2</v>
      </c>
      <c r="AA543" s="4">
        <v>10</v>
      </c>
      <c r="AB543" s="4">
        <v>11</v>
      </c>
      <c r="AC543" s="2" t="s">
        <v>10009</v>
      </c>
      <c r="AD543" s="2" t="s">
        <v>8074</v>
      </c>
      <c r="AE543" s="2" t="s">
        <v>10010</v>
      </c>
      <c r="AF543" s="2" t="s">
        <v>10011</v>
      </c>
      <c r="AG543" s="2" t="s">
        <v>10012</v>
      </c>
      <c r="AH543" s="2" t="s">
        <v>86</v>
      </c>
      <c r="AI543" s="2" t="s">
        <v>10013</v>
      </c>
      <c r="AJ543" s="2" t="s">
        <v>10014</v>
      </c>
      <c r="AK543" s="2" t="s">
        <v>146</v>
      </c>
      <c r="AL543" s="4">
        <v>2023</v>
      </c>
      <c r="AM543" s="4">
        <v>58</v>
      </c>
      <c r="AN543" s="4">
        <v>1</v>
      </c>
      <c r="AO543" s="2" t="s">
        <v>86</v>
      </c>
      <c r="AP543" s="2" t="s">
        <v>86</v>
      </c>
      <c r="AQ543" s="2" t="s">
        <v>86</v>
      </c>
      <c r="AR543" s="2" t="s">
        <v>86</v>
      </c>
      <c r="AS543" s="4">
        <v>1</v>
      </c>
      <c r="AT543" s="4">
        <v>11</v>
      </c>
      <c r="AU543" s="2" t="s">
        <v>86</v>
      </c>
      <c r="AV543" s="2" t="s">
        <v>86</v>
      </c>
      <c r="AW543" s="2" t="s">
        <v>391</v>
      </c>
      <c r="AX543" s="4">
        <v>11</v>
      </c>
      <c r="AY543" s="2" t="s">
        <v>9575</v>
      </c>
      <c r="AZ543" s="2" t="s">
        <v>92</v>
      </c>
      <c r="BA543" s="2" t="s">
        <v>9575</v>
      </c>
      <c r="BB543" s="2" t="s">
        <v>10015</v>
      </c>
      <c r="BC543" s="4">
        <v>36536895</v>
      </c>
      <c r="BD543" s="2" t="s">
        <v>3273</v>
      </c>
      <c r="BE543" s="2" t="s">
        <v>86</v>
      </c>
      <c r="BF543" s="2" t="s">
        <v>86</v>
      </c>
      <c r="BG543" s="2" t="s">
        <v>95</v>
      </c>
      <c r="BH543" s="2" t="s">
        <v>10016</v>
      </c>
      <c r="BI543" s="2" t="str">
        <f>HYPERLINK("https%3A%2F%2Fwww.webofscience.com%2Fwos%2Fwoscc%2Ffull-record%2FWOS:000899451600001","View Full Record in Web of Science")</f>
        <v>View Full Record in Web of Science</v>
      </c>
    </row>
    <row r="544" spans="1:61" customFormat="1" ht="12.75" x14ac:dyDescent="0.2">
      <c r="A544" s="1">
        <v>541</v>
      </c>
      <c r="B544" s="1" t="s">
        <v>1068</v>
      </c>
      <c r="C544" s="1" t="s">
        <v>10017</v>
      </c>
      <c r="D544" s="2" t="s">
        <v>10018</v>
      </c>
      <c r="E544" s="2" t="s">
        <v>10019</v>
      </c>
      <c r="F544" s="3" t="str">
        <f>HYPERLINK("http://dx.doi.org/10.1016/S0378-4320(00)00122-6","http://dx.doi.org/10.1016/S0378-4320(00)00122-6")</f>
        <v>http://dx.doi.org/10.1016/S0378-4320(00)00122-6</v>
      </c>
      <c r="G544" s="2" t="s">
        <v>200</v>
      </c>
      <c r="H544" s="2" t="s">
        <v>9704</v>
      </c>
      <c r="I544" s="2" t="s">
        <v>9704</v>
      </c>
      <c r="J544" s="2" t="s">
        <v>8227</v>
      </c>
      <c r="K544" s="2" t="s">
        <v>68</v>
      </c>
      <c r="L544" s="2" t="s">
        <v>10020</v>
      </c>
      <c r="M544" s="2" t="s">
        <v>10021</v>
      </c>
      <c r="N544" s="2" t="s">
        <v>9707</v>
      </c>
      <c r="O544" s="2" t="s">
        <v>10022</v>
      </c>
      <c r="P544" s="2" t="s">
        <v>10023</v>
      </c>
      <c r="Q544" s="2" t="s">
        <v>86</v>
      </c>
      <c r="R544" s="2" t="s">
        <v>86</v>
      </c>
      <c r="S544" s="2" t="s">
        <v>86</v>
      </c>
      <c r="T544" s="2" t="s">
        <v>86</v>
      </c>
      <c r="U544" s="2" t="s">
        <v>86</v>
      </c>
      <c r="V544" s="2" t="s">
        <v>86</v>
      </c>
      <c r="W544" s="2" t="s">
        <v>80</v>
      </c>
      <c r="X544" s="4">
        <v>34</v>
      </c>
      <c r="Y544" s="4">
        <v>14</v>
      </c>
      <c r="Z544" s="4">
        <v>14</v>
      </c>
      <c r="AA544" s="4">
        <v>0</v>
      </c>
      <c r="AB544" s="4">
        <v>6</v>
      </c>
      <c r="AC544" s="2" t="s">
        <v>4555</v>
      </c>
      <c r="AD544" s="2" t="s">
        <v>586</v>
      </c>
      <c r="AE544" s="2" t="s">
        <v>4556</v>
      </c>
      <c r="AF544" s="2" t="s">
        <v>8236</v>
      </c>
      <c r="AG544" s="2" t="s">
        <v>86</v>
      </c>
      <c r="AH544" s="2" t="s">
        <v>86</v>
      </c>
      <c r="AI544" s="2" t="s">
        <v>8238</v>
      </c>
      <c r="AJ544" s="2" t="s">
        <v>8239</v>
      </c>
      <c r="AK544" s="2" t="s">
        <v>10024</v>
      </c>
      <c r="AL544" s="4">
        <v>2000</v>
      </c>
      <c r="AM544" s="4">
        <v>62</v>
      </c>
      <c r="AN544" s="4">
        <v>4</v>
      </c>
      <c r="AO544" s="2" t="s">
        <v>86</v>
      </c>
      <c r="AP544" s="2" t="s">
        <v>86</v>
      </c>
      <c r="AQ544" s="2" t="s">
        <v>86</v>
      </c>
      <c r="AR544" s="2" t="s">
        <v>86</v>
      </c>
      <c r="AS544" s="4">
        <v>253</v>
      </c>
      <c r="AT544" s="4">
        <v>263</v>
      </c>
      <c r="AU544" s="2" t="s">
        <v>86</v>
      </c>
      <c r="AV544" s="2" t="s">
        <v>86</v>
      </c>
      <c r="AW544" s="2" t="s">
        <v>86</v>
      </c>
      <c r="AX544" s="4">
        <v>11</v>
      </c>
      <c r="AY544" s="2" t="s">
        <v>8240</v>
      </c>
      <c r="AZ544" s="2" t="s">
        <v>92</v>
      </c>
      <c r="BA544" s="2" t="s">
        <v>8241</v>
      </c>
      <c r="BB544" s="2" t="s">
        <v>10025</v>
      </c>
      <c r="BC544" s="4">
        <v>10924828</v>
      </c>
      <c r="BD544" s="2" t="s">
        <v>86</v>
      </c>
      <c r="BE544" s="2" t="s">
        <v>86</v>
      </c>
      <c r="BF544" s="2" t="s">
        <v>86</v>
      </c>
      <c r="BG544" s="2" t="s">
        <v>95</v>
      </c>
      <c r="BH544" s="2" t="s">
        <v>10026</v>
      </c>
      <c r="BI544" s="2" t="str">
        <f>HYPERLINK("https%3A%2F%2Fwww.webofscience.com%2Fwos%2Fwoscc%2Ffull-record%2FWOS:000088740500001","View Full Record in Web of Science")</f>
        <v>View Full Record in Web of Science</v>
      </c>
    </row>
    <row r="545" spans="1:61" customFormat="1" ht="12.75" x14ac:dyDescent="0.2">
      <c r="A545" s="1">
        <v>542</v>
      </c>
      <c r="B545" s="1" t="s">
        <v>1068</v>
      </c>
      <c r="C545" s="1" t="s">
        <v>10027</v>
      </c>
      <c r="D545" s="2" t="s">
        <v>10028</v>
      </c>
      <c r="E545" s="2" t="s">
        <v>10029</v>
      </c>
      <c r="F545" s="3" t="str">
        <f>HYPERLINK("http://dx.doi.org/10.1016/j.cej.2019.122425","http://dx.doi.org/10.1016/j.cej.2019.122425")</f>
        <v>http://dx.doi.org/10.1016/j.cej.2019.122425</v>
      </c>
      <c r="G545" s="2" t="s">
        <v>200</v>
      </c>
      <c r="H545" s="2" t="s">
        <v>10030</v>
      </c>
      <c r="I545" s="2" t="s">
        <v>10031</v>
      </c>
      <c r="J545" s="2" t="s">
        <v>10032</v>
      </c>
      <c r="K545" s="2" t="s">
        <v>68</v>
      </c>
      <c r="L545" s="2" t="s">
        <v>10033</v>
      </c>
      <c r="M545" s="2" t="s">
        <v>10034</v>
      </c>
      <c r="N545" s="2" t="s">
        <v>10035</v>
      </c>
      <c r="O545" s="2" t="s">
        <v>10036</v>
      </c>
      <c r="P545" s="2" t="s">
        <v>10037</v>
      </c>
      <c r="Q545" s="2" t="s">
        <v>10038</v>
      </c>
      <c r="R545" s="2" t="s">
        <v>10039</v>
      </c>
      <c r="S545" s="2" t="s">
        <v>10040</v>
      </c>
      <c r="T545" s="2" t="s">
        <v>10041</v>
      </c>
      <c r="U545" s="2" t="s">
        <v>10042</v>
      </c>
      <c r="V545" s="2" t="s">
        <v>10043</v>
      </c>
      <c r="W545" s="2" t="s">
        <v>80</v>
      </c>
      <c r="X545" s="4">
        <v>43</v>
      </c>
      <c r="Y545" s="4">
        <v>59</v>
      </c>
      <c r="Z545" s="4">
        <v>62</v>
      </c>
      <c r="AA545" s="4">
        <v>7</v>
      </c>
      <c r="AB545" s="4">
        <v>172</v>
      </c>
      <c r="AC545" s="2" t="s">
        <v>5189</v>
      </c>
      <c r="AD545" s="2" t="s">
        <v>783</v>
      </c>
      <c r="AE545" s="2" t="s">
        <v>5190</v>
      </c>
      <c r="AF545" s="2" t="s">
        <v>10044</v>
      </c>
      <c r="AG545" s="2" t="s">
        <v>10045</v>
      </c>
      <c r="AH545" s="2" t="s">
        <v>86</v>
      </c>
      <c r="AI545" s="2" t="s">
        <v>10046</v>
      </c>
      <c r="AJ545" s="2" t="s">
        <v>10047</v>
      </c>
      <c r="AK545" s="2" t="s">
        <v>390</v>
      </c>
      <c r="AL545" s="4">
        <v>2020</v>
      </c>
      <c r="AM545" s="4">
        <v>380</v>
      </c>
      <c r="AN545" s="2" t="s">
        <v>86</v>
      </c>
      <c r="AO545" s="2" t="s">
        <v>86</v>
      </c>
      <c r="AP545" s="2" t="s">
        <v>86</v>
      </c>
      <c r="AQ545" s="2" t="s">
        <v>86</v>
      </c>
      <c r="AR545" s="2" t="s">
        <v>86</v>
      </c>
      <c r="AS545" s="2" t="s">
        <v>86</v>
      </c>
      <c r="AT545" s="2" t="s">
        <v>86</v>
      </c>
      <c r="AU545" s="4">
        <v>122425</v>
      </c>
      <c r="AV545" s="2" t="s">
        <v>86</v>
      </c>
      <c r="AW545" s="2" t="s">
        <v>86</v>
      </c>
      <c r="AX545" s="4">
        <v>10</v>
      </c>
      <c r="AY545" s="2" t="s">
        <v>344</v>
      </c>
      <c r="AZ545" s="2" t="s">
        <v>92</v>
      </c>
      <c r="BA545" s="2" t="s">
        <v>345</v>
      </c>
      <c r="BB545" s="2" t="s">
        <v>10048</v>
      </c>
      <c r="BC545" s="2" t="s">
        <v>86</v>
      </c>
      <c r="BD545" s="2" t="s">
        <v>877</v>
      </c>
      <c r="BE545" s="2" t="s">
        <v>86</v>
      </c>
      <c r="BF545" s="2" t="s">
        <v>86</v>
      </c>
      <c r="BG545" s="2" t="s">
        <v>95</v>
      </c>
      <c r="BH545" s="2" t="s">
        <v>10049</v>
      </c>
      <c r="BI545" s="2" t="str">
        <f>HYPERLINK("https%3A%2F%2Fwww.webofscience.com%2Fwos%2Fwoscc%2Ffull-record%2FWOS:000494815600027","View Full Record in Web of Science")</f>
        <v>View Full Record in Web of Science</v>
      </c>
    </row>
    <row r="546" spans="1:61" customFormat="1" ht="12.75" x14ac:dyDescent="0.2">
      <c r="A546" s="1">
        <v>543</v>
      </c>
      <c r="B546" s="1" t="s">
        <v>1068</v>
      </c>
      <c r="C546" s="1" t="s">
        <v>10050</v>
      </c>
      <c r="D546" s="2" t="s">
        <v>10051</v>
      </c>
      <c r="E546" s="2" t="s">
        <v>10052</v>
      </c>
      <c r="F546" s="3" t="str">
        <f>HYPERLINK("http://dx.doi.org/10.1016/j.jpba.2022.114914","http://dx.doi.org/10.1016/j.jpba.2022.114914")</f>
        <v>http://dx.doi.org/10.1016/j.jpba.2022.114914</v>
      </c>
      <c r="G546" s="2" t="s">
        <v>200</v>
      </c>
      <c r="H546" s="2" t="s">
        <v>10053</v>
      </c>
      <c r="I546" s="2" t="s">
        <v>10054</v>
      </c>
      <c r="J546" s="2" t="s">
        <v>10055</v>
      </c>
      <c r="K546" s="2" t="s">
        <v>68</v>
      </c>
      <c r="L546" s="2" t="s">
        <v>10056</v>
      </c>
      <c r="M546" s="2" t="s">
        <v>10057</v>
      </c>
      <c r="N546" s="2" t="s">
        <v>10058</v>
      </c>
      <c r="O546" s="2" t="s">
        <v>10059</v>
      </c>
      <c r="P546" s="2" t="s">
        <v>754</v>
      </c>
      <c r="Q546" s="2" t="s">
        <v>10060</v>
      </c>
      <c r="R546" s="2" t="s">
        <v>10061</v>
      </c>
      <c r="S546" s="2" t="s">
        <v>10062</v>
      </c>
      <c r="T546" s="2" t="s">
        <v>86</v>
      </c>
      <c r="U546" s="2" t="s">
        <v>86</v>
      </c>
      <c r="V546" s="2" t="s">
        <v>86</v>
      </c>
      <c r="W546" s="2" t="s">
        <v>80</v>
      </c>
      <c r="X546" s="4">
        <v>104</v>
      </c>
      <c r="Y546" s="4">
        <v>1</v>
      </c>
      <c r="Z546" s="4">
        <v>1</v>
      </c>
      <c r="AA546" s="4">
        <v>11</v>
      </c>
      <c r="AB546" s="4">
        <v>19</v>
      </c>
      <c r="AC546" s="2" t="s">
        <v>585</v>
      </c>
      <c r="AD546" s="2" t="s">
        <v>586</v>
      </c>
      <c r="AE546" s="2" t="s">
        <v>587</v>
      </c>
      <c r="AF546" s="2" t="s">
        <v>10063</v>
      </c>
      <c r="AG546" s="2" t="s">
        <v>10064</v>
      </c>
      <c r="AH546" s="2" t="s">
        <v>86</v>
      </c>
      <c r="AI546" s="2" t="s">
        <v>10065</v>
      </c>
      <c r="AJ546" s="2" t="s">
        <v>10066</v>
      </c>
      <c r="AK546" s="2" t="s">
        <v>10067</v>
      </c>
      <c r="AL546" s="4">
        <v>2022</v>
      </c>
      <c r="AM546" s="4">
        <v>219</v>
      </c>
      <c r="AN546" s="2" t="s">
        <v>86</v>
      </c>
      <c r="AO546" s="2" t="s">
        <v>86</v>
      </c>
      <c r="AP546" s="2" t="s">
        <v>86</v>
      </c>
      <c r="AQ546" s="2" t="s">
        <v>86</v>
      </c>
      <c r="AR546" s="2" t="s">
        <v>86</v>
      </c>
      <c r="AS546" s="2" t="s">
        <v>86</v>
      </c>
      <c r="AT546" s="2" t="s">
        <v>86</v>
      </c>
      <c r="AU546" s="4">
        <v>114914</v>
      </c>
      <c r="AV546" s="2" t="s">
        <v>86</v>
      </c>
      <c r="AW546" s="2" t="s">
        <v>1982</v>
      </c>
      <c r="AX546" s="4">
        <v>9</v>
      </c>
      <c r="AY546" s="2" t="s">
        <v>10068</v>
      </c>
      <c r="AZ546" s="2" t="s">
        <v>92</v>
      </c>
      <c r="BA546" s="2" t="s">
        <v>10069</v>
      </c>
      <c r="BB546" s="2" t="s">
        <v>10070</v>
      </c>
      <c r="BC546" s="4">
        <v>35843186</v>
      </c>
      <c r="BD546" s="2" t="s">
        <v>86</v>
      </c>
      <c r="BE546" s="2" t="s">
        <v>86</v>
      </c>
      <c r="BF546" s="2" t="s">
        <v>86</v>
      </c>
      <c r="BG546" s="2" t="s">
        <v>95</v>
      </c>
      <c r="BH546" s="2" t="s">
        <v>10071</v>
      </c>
      <c r="BI546" s="2" t="str">
        <f>HYPERLINK("https%3A%2F%2Fwww.webofscience.com%2Fwos%2Fwoscc%2Ffull-record%2FWOS:000890709300004","View Full Record in Web of Science")</f>
        <v>View Full Record in Web of Science</v>
      </c>
    </row>
    <row r="547" spans="1:61" customFormat="1" ht="12.75" x14ac:dyDescent="0.2">
      <c r="A547" s="1">
        <v>544</v>
      </c>
      <c r="B547" s="1" t="s">
        <v>1068</v>
      </c>
      <c r="C547" s="1" t="s">
        <v>10072</v>
      </c>
      <c r="D547" s="2" t="s">
        <v>10073</v>
      </c>
      <c r="E547" s="2" t="s">
        <v>10074</v>
      </c>
      <c r="F547" s="3" t="str">
        <f>HYPERLINK("http://dx.doi.org/10.4194/TRJFAS20533","http://dx.doi.org/10.4194/TRJFAS20533")</f>
        <v>http://dx.doi.org/10.4194/TRJFAS20533</v>
      </c>
      <c r="G547" s="2" t="s">
        <v>61</v>
      </c>
      <c r="H547" s="2" t="s">
        <v>10075</v>
      </c>
      <c r="I547" s="2" t="s">
        <v>10076</v>
      </c>
      <c r="J547" s="2" t="s">
        <v>620</v>
      </c>
      <c r="K547" s="2" t="s">
        <v>68</v>
      </c>
      <c r="L547" s="2" t="s">
        <v>10077</v>
      </c>
      <c r="M547" s="2" t="s">
        <v>10078</v>
      </c>
      <c r="N547" s="2" t="s">
        <v>10079</v>
      </c>
      <c r="O547" s="2" t="s">
        <v>10080</v>
      </c>
      <c r="P547" s="2" t="s">
        <v>10081</v>
      </c>
      <c r="Q547" s="2" t="s">
        <v>10082</v>
      </c>
      <c r="R547" s="2" t="s">
        <v>10083</v>
      </c>
      <c r="S547" s="2" t="s">
        <v>10084</v>
      </c>
      <c r="T547" s="2" t="s">
        <v>86</v>
      </c>
      <c r="U547" s="2" t="s">
        <v>86</v>
      </c>
      <c r="V547" s="2" t="s">
        <v>86</v>
      </c>
      <c r="W547" s="2" t="s">
        <v>80</v>
      </c>
      <c r="X547" s="4">
        <v>133</v>
      </c>
      <c r="Y547" s="4">
        <v>2</v>
      </c>
      <c r="Z547" s="4">
        <v>2</v>
      </c>
      <c r="AA547" s="4">
        <v>16</v>
      </c>
      <c r="AB547" s="4">
        <v>51</v>
      </c>
      <c r="AC547" s="2" t="s">
        <v>629</v>
      </c>
      <c r="AD547" s="2" t="s">
        <v>630</v>
      </c>
      <c r="AE547" s="2" t="s">
        <v>631</v>
      </c>
      <c r="AF547" s="2" t="s">
        <v>632</v>
      </c>
      <c r="AG547" s="2" t="s">
        <v>633</v>
      </c>
      <c r="AH547" s="2" t="s">
        <v>86</v>
      </c>
      <c r="AI547" s="2" t="s">
        <v>634</v>
      </c>
      <c r="AJ547" s="2" t="s">
        <v>635</v>
      </c>
      <c r="AK547" s="2" t="s">
        <v>342</v>
      </c>
      <c r="AL547" s="4">
        <v>2022</v>
      </c>
      <c r="AM547" s="4">
        <v>22</v>
      </c>
      <c r="AN547" s="4">
        <v>6</v>
      </c>
      <c r="AO547" s="2" t="s">
        <v>86</v>
      </c>
      <c r="AP547" s="2" t="s">
        <v>86</v>
      </c>
      <c r="AQ547" s="2" t="s">
        <v>86</v>
      </c>
      <c r="AR547" s="2" t="s">
        <v>86</v>
      </c>
      <c r="AS547" s="4">
        <v>1</v>
      </c>
      <c r="AT547" s="4">
        <v>20</v>
      </c>
      <c r="AU547" s="2" t="s">
        <v>86</v>
      </c>
      <c r="AV547" s="2" t="s">
        <v>86</v>
      </c>
      <c r="AW547" s="2" t="s">
        <v>86</v>
      </c>
      <c r="AX547" s="4">
        <v>20</v>
      </c>
      <c r="AY547" s="2" t="s">
        <v>319</v>
      </c>
      <c r="AZ547" s="2" t="s">
        <v>92</v>
      </c>
      <c r="BA547" s="2" t="s">
        <v>319</v>
      </c>
      <c r="BB547" s="2" t="s">
        <v>10085</v>
      </c>
      <c r="BC547" s="2" t="s">
        <v>86</v>
      </c>
      <c r="BD547" s="2" t="s">
        <v>321</v>
      </c>
      <c r="BE547" s="2" t="s">
        <v>86</v>
      </c>
      <c r="BF547" s="2" t="s">
        <v>86</v>
      </c>
      <c r="BG547" s="2" t="s">
        <v>95</v>
      </c>
      <c r="BH547" s="2" t="s">
        <v>10086</v>
      </c>
      <c r="BI547" s="2" t="str">
        <f>HYPERLINK("https%3A%2F%2Fwww.webofscience.com%2Fwos%2Fwoscc%2Ffull-record%2FWOS:000776959700001","View Full Record in Web of Science")</f>
        <v>View Full Record in Web of Science</v>
      </c>
    </row>
    <row r="548" spans="1:61" customFormat="1" ht="12.75" x14ac:dyDescent="0.2">
      <c r="A548" s="1">
        <v>545</v>
      </c>
      <c r="B548" s="1" t="s">
        <v>1068</v>
      </c>
      <c r="C548" s="1" t="s">
        <v>10087</v>
      </c>
      <c r="D548" s="2" t="s">
        <v>10088</v>
      </c>
      <c r="E548" s="2" t="s">
        <v>10089</v>
      </c>
      <c r="F548" s="3" t="str">
        <f>HYPERLINK("http://dx.doi.org/10.1016/j.envpol.2022.119651","http://dx.doi.org/10.1016/j.envpol.2022.119651")</f>
        <v>http://dx.doi.org/10.1016/j.envpol.2022.119651</v>
      </c>
      <c r="G548" s="2" t="s">
        <v>200</v>
      </c>
      <c r="H548" s="2" t="s">
        <v>10090</v>
      </c>
      <c r="I548" s="2" t="s">
        <v>10091</v>
      </c>
      <c r="J548" s="2" t="s">
        <v>102</v>
      </c>
      <c r="K548" s="2" t="s">
        <v>68</v>
      </c>
      <c r="L548" s="2" t="s">
        <v>10092</v>
      </c>
      <c r="M548" s="2" t="s">
        <v>10093</v>
      </c>
      <c r="N548" s="2" t="s">
        <v>10094</v>
      </c>
      <c r="O548" s="2" t="s">
        <v>10095</v>
      </c>
      <c r="P548" s="2" t="s">
        <v>10096</v>
      </c>
      <c r="Q548" s="2" t="s">
        <v>10097</v>
      </c>
      <c r="R548" s="2" t="s">
        <v>10098</v>
      </c>
      <c r="S548" s="2" t="s">
        <v>10099</v>
      </c>
      <c r="T548" s="2" t="s">
        <v>10100</v>
      </c>
      <c r="U548" s="2" t="s">
        <v>10101</v>
      </c>
      <c r="V548" s="2" t="s">
        <v>10102</v>
      </c>
      <c r="W548" s="2" t="s">
        <v>80</v>
      </c>
      <c r="X548" s="4">
        <v>94</v>
      </c>
      <c r="Y548" s="4">
        <v>3</v>
      </c>
      <c r="Z548" s="4">
        <v>3</v>
      </c>
      <c r="AA548" s="4">
        <v>17</v>
      </c>
      <c r="AB548" s="4">
        <v>36</v>
      </c>
      <c r="AC548" s="2" t="s">
        <v>114</v>
      </c>
      <c r="AD548" s="2" t="s">
        <v>115</v>
      </c>
      <c r="AE548" s="2" t="s">
        <v>116</v>
      </c>
      <c r="AF548" s="2" t="s">
        <v>117</v>
      </c>
      <c r="AG548" s="2" t="s">
        <v>118</v>
      </c>
      <c r="AH548" s="2" t="s">
        <v>86</v>
      </c>
      <c r="AI548" s="2" t="s">
        <v>119</v>
      </c>
      <c r="AJ548" s="2" t="s">
        <v>120</v>
      </c>
      <c r="AK548" s="2" t="s">
        <v>10024</v>
      </c>
      <c r="AL548" s="4">
        <v>2022</v>
      </c>
      <c r="AM548" s="4">
        <v>308</v>
      </c>
      <c r="AN548" s="2" t="s">
        <v>86</v>
      </c>
      <c r="AO548" s="2" t="s">
        <v>86</v>
      </c>
      <c r="AP548" s="2" t="s">
        <v>86</v>
      </c>
      <c r="AQ548" s="2" t="s">
        <v>86</v>
      </c>
      <c r="AR548" s="2" t="s">
        <v>86</v>
      </c>
      <c r="AS548" s="2" t="s">
        <v>86</v>
      </c>
      <c r="AT548" s="2" t="s">
        <v>86</v>
      </c>
      <c r="AU548" s="4">
        <v>119651</v>
      </c>
      <c r="AV548" s="2" t="s">
        <v>86</v>
      </c>
      <c r="AW548" s="2" t="s">
        <v>1289</v>
      </c>
      <c r="AX548" s="4">
        <v>17</v>
      </c>
      <c r="AY548" s="2" t="s">
        <v>91</v>
      </c>
      <c r="AZ548" s="2" t="s">
        <v>92</v>
      </c>
      <c r="BA548" s="2" t="s">
        <v>93</v>
      </c>
      <c r="BB548" s="2" t="s">
        <v>10103</v>
      </c>
      <c r="BC548" s="4">
        <v>35752396</v>
      </c>
      <c r="BD548" s="2" t="s">
        <v>86</v>
      </c>
      <c r="BE548" s="2" t="s">
        <v>86</v>
      </c>
      <c r="BF548" s="2" t="s">
        <v>86</v>
      </c>
      <c r="BG548" s="2" t="s">
        <v>95</v>
      </c>
      <c r="BH548" s="2" t="s">
        <v>10104</v>
      </c>
      <c r="BI548" s="2" t="str">
        <f>HYPERLINK("https%3A%2F%2Fwww.webofscience.com%2Fwos%2Fwoscc%2Ffull-record%2FWOS:000833424600005","View Full Record in Web of Science")</f>
        <v>View Full Record in Web of Science</v>
      </c>
    </row>
    <row r="549" spans="1:61" customFormat="1" ht="12.75" x14ac:dyDescent="0.2">
      <c r="A549" s="1">
        <v>546</v>
      </c>
      <c r="B549" s="1" t="s">
        <v>1068</v>
      </c>
      <c r="C549" s="1" t="s">
        <v>10105</v>
      </c>
      <c r="D549" s="2" t="s">
        <v>10106</v>
      </c>
      <c r="E549" s="2" t="s">
        <v>10107</v>
      </c>
      <c r="F549" s="3" t="str">
        <f>HYPERLINK("http://dx.doi.org/10.1007/s42247-022-00376-w","http://dx.doi.org/10.1007/s42247-022-00376-w")</f>
        <v>http://dx.doi.org/10.1007/s42247-022-00376-w</v>
      </c>
      <c r="G549" s="2" t="s">
        <v>61</v>
      </c>
      <c r="H549" s="2" t="s">
        <v>10108</v>
      </c>
      <c r="I549" s="2" t="s">
        <v>10109</v>
      </c>
      <c r="J549" s="2" t="s">
        <v>10110</v>
      </c>
      <c r="K549" s="2" t="s">
        <v>68</v>
      </c>
      <c r="L549" s="2" t="s">
        <v>10111</v>
      </c>
      <c r="M549" s="2" t="s">
        <v>10112</v>
      </c>
      <c r="N549" s="2" t="s">
        <v>10113</v>
      </c>
      <c r="O549" s="2" t="s">
        <v>10114</v>
      </c>
      <c r="P549" s="2" t="s">
        <v>10115</v>
      </c>
      <c r="Q549" s="2" t="s">
        <v>10116</v>
      </c>
      <c r="R549" s="2" t="s">
        <v>10117</v>
      </c>
      <c r="S549" s="2" t="s">
        <v>10118</v>
      </c>
      <c r="T549" s="2" t="s">
        <v>86</v>
      </c>
      <c r="U549" s="2" t="s">
        <v>86</v>
      </c>
      <c r="V549" s="2" t="s">
        <v>86</v>
      </c>
      <c r="W549" s="2" t="s">
        <v>80</v>
      </c>
      <c r="X549" s="4">
        <v>132</v>
      </c>
      <c r="Y549" s="4">
        <v>4</v>
      </c>
      <c r="Z549" s="4">
        <v>4</v>
      </c>
      <c r="AA549" s="4">
        <v>31</v>
      </c>
      <c r="AB549" s="4">
        <v>92</v>
      </c>
      <c r="AC549" s="2" t="s">
        <v>5615</v>
      </c>
      <c r="AD549" s="2" t="s">
        <v>605</v>
      </c>
      <c r="AE549" s="2" t="s">
        <v>5616</v>
      </c>
      <c r="AF549" s="2" t="s">
        <v>10119</v>
      </c>
      <c r="AG549" s="2" t="s">
        <v>10120</v>
      </c>
      <c r="AH549" s="2" t="s">
        <v>86</v>
      </c>
      <c r="AI549" s="2" t="s">
        <v>10121</v>
      </c>
      <c r="AJ549" s="2" t="s">
        <v>10122</v>
      </c>
      <c r="AK549" s="2" t="s">
        <v>146</v>
      </c>
      <c r="AL549" s="4">
        <v>2022</v>
      </c>
      <c r="AM549" s="4">
        <v>5</v>
      </c>
      <c r="AN549" s="4">
        <v>1</v>
      </c>
      <c r="AO549" s="2" t="s">
        <v>86</v>
      </c>
      <c r="AP549" s="2" t="s">
        <v>86</v>
      </c>
      <c r="AQ549" s="2" t="s">
        <v>86</v>
      </c>
      <c r="AR549" s="2" t="s">
        <v>86</v>
      </c>
      <c r="AS549" s="4">
        <v>105</v>
      </c>
      <c r="AT549" s="4">
        <v>132</v>
      </c>
      <c r="AU549" s="2" t="s">
        <v>86</v>
      </c>
      <c r="AV549" s="2" t="s">
        <v>86</v>
      </c>
      <c r="AW549" s="2" t="s">
        <v>1238</v>
      </c>
      <c r="AX549" s="4">
        <v>28</v>
      </c>
      <c r="AY549" s="2" t="s">
        <v>5833</v>
      </c>
      <c r="AZ549" s="2" t="s">
        <v>171</v>
      </c>
      <c r="BA549" s="2" t="s">
        <v>3123</v>
      </c>
      <c r="BB549" s="2" t="s">
        <v>10123</v>
      </c>
      <c r="BC549" s="4">
        <v>35284783</v>
      </c>
      <c r="BD549" s="2" t="s">
        <v>659</v>
      </c>
      <c r="BE549" s="2" t="s">
        <v>86</v>
      </c>
      <c r="BF549" s="2" t="s">
        <v>86</v>
      </c>
      <c r="BG549" s="2" t="s">
        <v>95</v>
      </c>
      <c r="BH549" s="2" t="s">
        <v>10124</v>
      </c>
      <c r="BI549" s="2" t="str">
        <f>HYPERLINK("https%3A%2F%2Fwww.webofscience.com%2Fwos%2Fwoscc%2Ffull-record%2FWOS:000766408400001","View Full Record in Web of Science")</f>
        <v>View Full Record in Web of Science</v>
      </c>
    </row>
    <row r="550" spans="1:61" customFormat="1" ht="12.75" x14ac:dyDescent="0.2">
      <c r="A550" s="1">
        <v>547</v>
      </c>
      <c r="B550" s="1" t="s">
        <v>1068</v>
      </c>
      <c r="C550" s="1" t="s">
        <v>10125</v>
      </c>
      <c r="D550" s="2" t="s">
        <v>10126</v>
      </c>
      <c r="E550" s="2" t="s">
        <v>10127</v>
      </c>
      <c r="F550" s="3" t="str">
        <f>HYPERLINK("http://dx.doi.org/10.1016/j.lfs.2023.121386","http://dx.doi.org/10.1016/j.lfs.2023.121386")</f>
        <v>http://dx.doi.org/10.1016/j.lfs.2023.121386</v>
      </c>
      <c r="G550" s="2" t="s">
        <v>61</v>
      </c>
      <c r="H550" s="2" t="s">
        <v>10128</v>
      </c>
      <c r="I550" s="2" t="s">
        <v>10129</v>
      </c>
      <c r="J550" s="2" t="s">
        <v>10130</v>
      </c>
      <c r="K550" s="2" t="s">
        <v>68</v>
      </c>
      <c r="L550" s="2" t="s">
        <v>10131</v>
      </c>
      <c r="M550" s="2" t="s">
        <v>10132</v>
      </c>
      <c r="N550" s="2" t="s">
        <v>10133</v>
      </c>
      <c r="O550" s="2" t="s">
        <v>4528</v>
      </c>
      <c r="P550" s="2" t="s">
        <v>10134</v>
      </c>
      <c r="Q550" s="2" t="s">
        <v>10135</v>
      </c>
      <c r="R550" s="2" t="s">
        <v>86</v>
      </c>
      <c r="S550" s="2" t="s">
        <v>10136</v>
      </c>
      <c r="T550" s="2" t="s">
        <v>86</v>
      </c>
      <c r="U550" s="2" t="s">
        <v>86</v>
      </c>
      <c r="V550" s="2" t="s">
        <v>86</v>
      </c>
      <c r="W550" s="2" t="s">
        <v>80</v>
      </c>
      <c r="X550" s="4">
        <v>91</v>
      </c>
      <c r="Y550" s="4">
        <v>0</v>
      </c>
      <c r="Z550" s="4">
        <v>0</v>
      </c>
      <c r="AA550" s="4">
        <v>2</v>
      </c>
      <c r="AB550" s="4">
        <v>2</v>
      </c>
      <c r="AC550" s="2" t="s">
        <v>237</v>
      </c>
      <c r="AD550" s="2" t="s">
        <v>115</v>
      </c>
      <c r="AE550" s="2" t="s">
        <v>238</v>
      </c>
      <c r="AF550" s="2" t="s">
        <v>10137</v>
      </c>
      <c r="AG550" s="2" t="s">
        <v>10138</v>
      </c>
      <c r="AH550" s="2" t="s">
        <v>86</v>
      </c>
      <c r="AI550" s="2" t="s">
        <v>10139</v>
      </c>
      <c r="AJ550" s="2" t="s">
        <v>10140</v>
      </c>
      <c r="AK550" s="2" t="s">
        <v>4537</v>
      </c>
      <c r="AL550" s="4">
        <v>2023</v>
      </c>
      <c r="AM550" s="4">
        <v>316</v>
      </c>
      <c r="AN550" s="2" t="s">
        <v>86</v>
      </c>
      <c r="AO550" s="2" t="s">
        <v>86</v>
      </c>
      <c r="AP550" s="2" t="s">
        <v>86</v>
      </c>
      <c r="AQ550" s="2" t="s">
        <v>86</v>
      </c>
      <c r="AR550" s="2" t="s">
        <v>86</v>
      </c>
      <c r="AS550" s="2" t="s">
        <v>86</v>
      </c>
      <c r="AT550" s="2" t="s">
        <v>86</v>
      </c>
      <c r="AU550" s="4">
        <v>121386</v>
      </c>
      <c r="AV550" s="2" t="s">
        <v>86</v>
      </c>
      <c r="AW550" s="2" t="s">
        <v>1440</v>
      </c>
      <c r="AX550" s="4">
        <v>11</v>
      </c>
      <c r="AY550" s="2" t="s">
        <v>10141</v>
      </c>
      <c r="AZ550" s="2" t="s">
        <v>92</v>
      </c>
      <c r="BA550" s="2" t="s">
        <v>10142</v>
      </c>
      <c r="BB550" s="2" t="s">
        <v>10143</v>
      </c>
      <c r="BC550" s="4">
        <v>36657639</v>
      </c>
      <c r="BD550" s="2" t="s">
        <v>86</v>
      </c>
      <c r="BE550" s="2" t="s">
        <v>86</v>
      </c>
      <c r="BF550" s="2" t="s">
        <v>86</v>
      </c>
      <c r="BG550" s="2" t="s">
        <v>95</v>
      </c>
      <c r="BH550" s="2" t="s">
        <v>10144</v>
      </c>
      <c r="BI550" s="2" t="str">
        <f>HYPERLINK("https%3A%2F%2Fwww.webofscience.com%2Fwos%2Fwoscc%2Ffull-record%2FWOS:000963470700001","View Full Record in Web of Science")</f>
        <v>View Full Record in Web of Science</v>
      </c>
    </row>
    <row r="551" spans="1:61" customFormat="1" ht="12.75" x14ac:dyDescent="0.2">
      <c r="A551" s="1">
        <v>548</v>
      </c>
      <c r="B551" s="1" t="s">
        <v>1068</v>
      </c>
      <c r="C551" s="1" t="s">
        <v>10145</v>
      </c>
      <c r="D551" s="2" t="s">
        <v>10146</v>
      </c>
      <c r="E551" s="2" t="s">
        <v>10147</v>
      </c>
      <c r="F551" s="3" t="str">
        <f>HYPERLINK("http://dx.doi.org/10.1016/j.bej.2022.108619","http://dx.doi.org/10.1016/j.bej.2022.108619")</f>
        <v>http://dx.doi.org/10.1016/j.bej.2022.108619</v>
      </c>
      <c r="G551" s="2" t="s">
        <v>200</v>
      </c>
      <c r="H551" s="2" t="s">
        <v>10148</v>
      </c>
      <c r="I551" s="2" t="s">
        <v>10149</v>
      </c>
      <c r="J551" s="2" t="s">
        <v>10150</v>
      </c>
      <c r="K551" s="2" t="s">
        <v>68</v>
      </c>
      <c r="L551" s="2" t="s">
        <v>10151</v>
      </c>
      <c r="M551" s="2" t="s">
        <v>10152</v>
      </c>
      <c r="N551" s="2" t="s">
        <v>10153</v>
      </c>
      <c r="O551" s="2" t="s">
        <v>10154</v>
      </c>
      <c r="P551" s="2" t="s">
        <v>10155</v>
      </c>
      <c r="Q551" s="2" t="s">
        <v>10156</v>
      </c>
      <c r="R551" s="2" t="s">
        <v>10157</v>
      </c>
      <c r="S551" s="2" t="s">
        <v>10158</v>
      </c>
      <c r="T551" s="2" t="s">
        <v>86</v>
      </c>
      <c r="U551" s="2" t="s">
        <v>86</v>
      </c>
      <c r="V551" s="2" t="s">
        <v>86</v>
      </c>
      <c r="W551" s="2" t="s">
        <v>80</v>
      </c>
      <c r="X551" s="4">
        <v>53</v>
      </c>
      <c r="Y551" s="4">
        <v>3</v>
      </c>
      <c r="Z551" s="4">
        <v>3</v>
      </c>
      <c r="AA551" s="4">
        <v>7</v>
      </c>
      <c r="AB551" s="4">
        <v>18</v>
      </c>
      <c r="AC551" s="2" t="s">
        <v>585</v>
      </c>
      <c r="AD551" s="2" t="s">
        <v>586</v>
      </c>
      <c r="AE551" s="2" t="s">
        <v>587</v>
      </c>
      <c r="AF551" s="2" t="s">
        <v>10159</v>
      </c>
      <c r="AG551" s="2" t="s">
        <v>10160</v>
      </c>
      <c r="AH551" s="2" t="s">
        <v>86</v>
      </c>
      <c r="AI551" s="2" t="s">
        <v>10161</v>
      </c>
      <c r="AJ551" s="2" t="s">
        <v>10162</v>
      </c>
      <c r="AK551" s="2" t="s">
        <v>121</v>
      </c>
      <c r="AL551" s="4">
        <v>2022</v>
      </c>
      <c r="AM551" s="4">
        <v>187</v>
      </c>
      <c r="AN551" s="2" t="s">
        <v>86</v>
      </c>
      <c r="AO551" s="2" t="s">
        <v>86</v>
      </c>
      <c r="AP551" s="2" t="s">
        <v>86</v>
      </c>
      <c r="AQ551" s="2" t="s">
        <v>86</v>
      </c>
      <c r="AR551" s="2" t="s">
        <v>86</v>
      </c>
      <c r="AS551" s="2" t="s">
        <v>86</v>
      </c>
      <c r="AT551" s="2" t="s">
        <v>86</v>
      </c>
      <c r="AU551" s="4">
        <v>108619</v>
      </c>
      <c r="AV551" s="2" t="s">
        <v>86</v>
      </c>
      <c r="AW551" s="2" t="s">
        <v>294</v>
      </c>
      <c r="AX551" s="4">
        <v>10</v>
      </c>
      <c r="AY551" s="2" t="s">
        <v>10163</v>
      </c>
      <c r="AZ551" s="2" t="s">
        <v>92</v>
      </c>
      <c r="BA551" s="2" t="s">
        <v>10164</v>
      </c>
      <c r="BB551" s="2" t="s">
        <v>10165</v>
      </c>
      <c r="BC551" s="2" t="s">
        <v>86</v>
      </c>
      <c r="BD551" s="2" t="s">
        <v>86</v>
      </c>
      <c r="BE551" s="2" t="s">
        <v>86</v>
      </c>
      <c r="BF551" s="2" t="s">
        <v>86</v>
      </c>
      <c r="BG551" s="2" t="s">
        <v>95</v>
      </c>
      <c r="BH551" s="2" t="s">
        <v>10166</v>
      </c>
      <c r="BI551" s="2" t="str">
        <f>HYPERLINK("https%3A%2F%2Fwww.webofscience.com%2Fwos%2Fwoscc%2Ffull-record%2FWOS:000864692200004","View Full Record in Web of Science")</f>
        <v>View Full Record in Web of Science</v>
      </c>
    </row>
    <row r="552" spans="1:61" customFormat="1" ht="12.75" x14ac:dyDescent="0.2">
      <c r="A552" s="1">
        <v>549</v>
      </c>
      <c r="B552" s="1" t="s">
        <v>1068</v>
      </c>
      <c r="C552" s="1" t="s">
        <v>10167</v>
      </c>
      <c r="D552" s="2" t="s">
        <v>10168</v>
      </c>
      <c r="E552" s="2" t="s">
        <v>10169</v>
      </c>
      <c r="F552" s="3" t="str">
        <f>HYPERLINK("http://dx.doi.org/10.1021/acssensors.2c00824","http://dx.doi.org/10.1021/acssensors.2c00824")</f>
        <v>http://dx.doi.org/10.1021/acssensors.2c00824</v>
      </c>
      <c r="G552" s="2" t="s">
        <v>642</v>
      </c>
      <c r="H552" s="2" t="s">
        <v>10170</v>
      </c>
      <c r="I552" s="2" t="s">
        <v>10171</v>
      </c>
      <c r="J552" s="2" t="s">
        <v>10172</v>
      </c>
      <c r="K552" s="2" t="s">
        <v>68</v>
      </c>
      <c r="L552" s="2" t="s">
        <v>10173</v>
      </c>
      <c r="M552" s="2" t="s">
        <v>10174</v>
      </c>
      <c r="N552" s="2" t="s">
        <v>10175</v>
      </c>
      <c r="O552" s="2" t="s">
        <v>10176</v>
      </c>
      <c r="P552" s="2" t="s">
        <v>10177</v>
      </c>
      <c r="Q552" s="2" t="s">
        <v>10178</v>
      </c>
      <c r="R552" s="2" t="s">
        <v>10179</v>
      </c>
      <c r="S552" s="2" t="s">
        <v>10180</v>
      </c>
      <c r="T552" s="2" t="s">
        <v>10181</v>
      </c>
      <c r="U552" s="2" t="s">
        <v>10182</v>
      </c>
      <c r="V552" s="2" t="s">
        <v>10183</v>
      </c>
      <c r="W552" s="2" t="s">
        <v>80</v>
      </c>
      <c r="X552" s="4">
        <v>37</v>
      </c>
      <c r="Y552" s="4">
        <v>1</v>
      </c>
      <c r="Z552" s="4">
        <v>1</v>
      </c>
      <c r="AA552" s="4">
        <v>21</v>
      </c>
      <c r="AB552" s="4">
        <v>34</v>
      </c>
      <c r="AC552" s="2" t="s">
        <v>461</v>
      </c>
      <c r="AD552" s="2" t="s">
        <v>462</v>
      </c>
      <c r="AE552" s="2" t="s">
        <v>463</v>
      </c>
      <c r="AF552" s="2" t="s">
        <v>10184</v>
      </c>
      <c r="AG552" s="2" t="s">
        <v>86</v>
      </c>
      <c r="AH552" s="2" t="s">
        <v>86</v>
      </c>
      <c r="AI552" s="2" t="s">
        <v>10172</v>
      </c>
      <c r="AJ552" s="2" t="s">
        <v>10185</v>
      </c>
      <c r="AK552" s="2" t="s">
        <v>10186</v>
      </c>
      <c r="AL552" s="4">
        <v>2022</v>
      </c>
      <c r="AM552" s="2" t="s">
        <v>86</v>
      </c>
      <c r="AN552" s="2" t="s">
        <v>86</v>
      </c>
      <c r="AO552" s="2" t="s">
        <v>86</v>
      </c>
      <c r="AP552" s="2" t="s">
        <v>86</v>
      </c>
      <c r="AQ552" s="2" t="s">
        <v>86</v>
      </c>
      <c r="AR552" s="2" t="s">
        <v>86</v>
      </c>
      <c r="AS552" s="2" t="s">
        <v>86</v>
      </c>
      <c r="AT552" s="2" t="s">
        <v>86</v>
      </c>
      <c r="AU552" s="2" t="s">
        <v>86</v>
      </c>
      <c r="AV552" s="2" t="s">
        <v>86</v>
      </c>
      <c r="AW552" s="2" t="s">
        <v>1982</v>
      </c>
      <c r="AX552" s="4">
        <v>12</v>
      </c>
      <c r="AY552" s="2" t="s">
        <v>10187</v>
      </c>
      <c r="AZ552" s="2" t="s">
        <v>92</v>
      </c>
      <c r="BA552" s="2" t="s">
        <v>10188</v>
      </c>
      <c r="BB552" s="2" t="s">
        <v>10189</v>
      </c>
      <c r="BC552" s="4">
        <v>35868024</v>
      </c>
      <c r="BD552" s="2" t="s">
        <v>877</v>
      </c>
      <c r="BE552" s="2" t="s">
        <v>86</v>
      </c>
      <c r="BF552" s="2" t="s">
        <v>86</v>
      </c>
      <c r="BG552" s="2" t="s">
        <v>95</v>
      </c>
      <c r="BH552" s="2" t="s">
        <v>10190</v>
      </c>
      <c r="BI552" s="2" t="str">
        <f>HYPERLINK("https%3A%2F%2Fwww.webofscience.com%2Fwos%2Fwoscc%2Ffull-record%2FWOS:000887049000001","View Full Record in Web of Science")</f>
        <v>View Full Record in Web of Science</v>
      </c>
    </row>
    <row r="553" spans="1:61" customFormat="1" ht="12.75" x14ac:dyDescent="0.2">
      <c r="A553" s="1">
        <v>550</v>
      </c>
      <c r="B553" s="1" t="s">
        <v>1068</v>
      </c>
      <c r="C553" s="1" t="s">
        <v>10191</v>
      </c>
      <c r="D553" s="2" t="s">
        <v>10192</v>
      </c>
      <c r="E553" s="2" t="s">
        <v>10193</v>
      </c>
      <c r="F553" s="3" t="str">
        <f>HYPERLINK("http://dx.doi.org/10.1111/gcb.16343","http://dx.doi.org/10.1111/gcb.16343")</f>
        <v>http://dx.doi.org/10.1111/gcb.16343</v>
      </c>
      <c r="G553" s="2" t="s">
        <v>61</v>
      </c>
      <c r="H553" s="2" t="s">
        <v>10194</v>
      </c>
      <c r="I553" s="2" t="s">
        <v>10195</v>
      </c>
      <c r="J553" s="2" t="s">
        <v>3947</v>
      </c>
      <c r="K553" s="2" t="s">
        <v>68</v>
      </c>
      <c r="L553" s="2" t="s">
        <v>10196</v>
      </c>
      <c r="M553" s="2" t="s">
        <v>10197</v>
      </c>
      <c r="N553" s="2" t="s">
        <v>10198</v>
      </c>
      <c r="O553" s="2" t="s">
        <v>10199</v>
      </c>
      <c r="P553" s="2" t="s">
        <v>10200</v>
      </c>
      <c r="Q553" s="2" t="s">
        <v>10201</v>
      </c>
      <c r="R553" s="2" t="s">
        <v>10202</v>
      </c>
      <c r="S553" s="2" t="s">
        <v>10203</v>
      </c>
      <c r="T553" s="2" t="s">
        <v>10204</v>
      </c>
      <c r="U553" s="2" t="s">
        <v>10205</v>
      </c>
      <c r="V553" s="2" t="s">
        <v>10206</v>
      </c>
      <c r="W553" s="2" t="s">
        <v>80</v>
      </c>
      <c r="X553" s="4">
        <v>276</v>
      </c>
      <c r="Y553" s="4">
        <v>1</v>
      </c>
      <c r="Z553" s="4">
        <v>1</v>
      </c>
      <c r="AA553" s="4">
        <v>11</v>
      </c>
      <c r="AB553" s="4">
        <v>41</v>
      </c>
      <c r="AC553" s="2" t="s">
        <v>956</v>
      </c>
      <c r="AD553" s="2" t="s">
        <v>957</v>
      </c>
      <c r="AE553" s="2" t="s">
        <v>958</v>
      </c>
      <c r="AF553" s="2" t="s">
        <v>3958</v>
      </c>
      <c r="AG553" s="2" t="s">
        <v>3959</v>
      </c>
      <c r="AH553" s="2" t="s">
        <v>86</v>
      </c>
      <c r="AI553" s="2" t="s">
        <v>3960</v>
      </c>
      <c r="AJ553" s="2" t="s">
        <v>3961</v>
      </c>
      <c r="AK553" s="2" t="s">
        <v>873</v>
      </c>
      <c r="AL553" s="4">
        <v>2022</v>
      </c>
      <c r="AM553" s="4">
        <v>28</v>
      </c>
      <c r="AN553" s="4">
        <v>19</v>
      </c>
      <c r="AO553" s="2" t="s">
        <v>86</v>
      </c>
      <c r="AP553" s="2" t="s">
        <v>86</v>
      </c>
      <c r="AQ553" s="2" t="s">
        <v>86</v>
      </c>
      <c r="AR553" s="2" t="s">
        <v>86</v>
      </c>
      <c r="AS553" s="4">
        <v>5630</v>
      </c>
      <c r="AT553" s="4">
        <v>5653</v>
      </c>
      <c r="AU553" s="2" t="s">
        <v>86</v>
      </c>
      <c r="AV553" s="2" t="s">
        <v>86</v>
      </c>
      <c r="AW553" s="2" t="s">
        <v>1638</v>
      </c>
      <c r="AX553" s="4">
        <v>24</v>
      </c>
      <c r="AY553" s="2" t="s">
        <v>3962</v>
      </c>
      <c r="AZ553" s="2" t="s">
        <v>92</v>
      </c>
      <c r="BA553" s="2" t="s">
        <v>3963</v>
      </c>
      <c r="BB553" s="2" t="s">
        <v>10207</v>
      </c>
      <c r="BC553" s="4">
        <v>35929978</v>
      </c>
      <c r="BD553" s="2" t="s">
        <v>877</v>
      </c>
      <c r="BE553" s="2" t="s">
        <v>86</v>
      </c>
      <c r="BF553" s="2" t="s">
        <v>86</v>
      </c>
      <c r="BG553" s="2" t="s">
        <v>95</v>
      </c>
      <c r="BH553" s="2" t="s">
        <v>10208</v>
      </c>
      <c r="BI553" s="2" t="str">
        <f>HYPERLINK("https%3A%2F%2Fwww.webofscience.com%2Fwos%2Fwoscc%2Ffull-record%2FWOS:000836335400001","View Full Record in Web of Science")</f>
        <v>View Full Record in Web of Science</v>
      </c>
    </row>
    <row r="554" spans="1:61" customFormat="1" ht="12.75" x14ac:dyDescent="0.2">
      <c r="A554" s="1">
        <v>551</v>
      </c>
      <c r="B554" s="1" t="s">
        <v>1068</v>
      </c>
      <c r="C554" s="1" t="s">
        <v>10209</v>
      </c>
      <c r="D554" s="2" t="s">
        <v>10210</v>
      </c>
      <c r="E554" s="2" t="s">
        <v>10211</v>
      </c>
      <c r="F554" s="3" t="str">
        <f>HYPERLINK("http://dx.doi.org/10.1007/s10531-021-02326-0","http://dx.doi.org/10.1007/s10531-021-02326-0")</f>
        <v>http://dx.doi.org/10.1007/s10531-021-02326-0</v>
      </c>
      <c r="G554" s="2" t="s">
        <v>200</v>
      </c>
      <c r="H554" s="2" t="s">
        <v>10212</v>
      </c>
      <c r="I554" s="2" t="s">
        <v>10213</v>
      </c>
      <c r="J554" s="2" t="s">
        <v>10214</v>
      </c>
      <c r="K554" s="2" t="s">
        <v>68</v>
      </c>
      <c r="L554" s="2" t="s">
        <v>10215</v>
      </c>
      <c r="M554" s="2" t="s">
        <v>10216</v>
      </c>
      <c r="N554" s="2" t="s">
        <v>10217</v>
      </c>
      <c r="O554" s="2" t="s">
        <v>10218</v>
      </c>
      <c r="P554" s="2" t="s">
        <v>10219</v>
      </c>
      <c r="Q554" s="2" t="s">
        <v>10220</v>
      </c>
      <c r="R554" s="2" t="s">
        <v>10221</v>
      </c>
      <c r="S554" s="2" t="s">
        <v>10222</v>
      </c>
      <c r="T554" s="2" t="s">
        <v>10223</v>
      </c>
      <c r="U554" s="2" t="s">
        <v>10224</v>
      </c>
      <c r="V554" s="2" t="s">
        <v>10225</v>
      </c>
      <c r="W554" s="2" t="s">
        <v>80</v>
      </c>
      <c r="X554" s="4">
        <v>75</v>
      </c>
      <c r="Y554" s="4">
        <v>10</v>
      </c>
      <c r="Z554" s="4">
        <v>11</v>
      </c>
      <c r="AA554" s="4">
        <v>3</v>
      </c>
      <c r="AB554" s="4">
        <v>25</v>
      </c>
      <c r="AC554" s="2" t="s">
        <v>139</v>
      </c>
      <c r="AD554" s="2" t="s">
        <v>140</v>
      </c>
      <c r="AE554" s="2" t="s">
        <v>141</v>
      </c>
      <c r="AF554" s="2" t="s">
        <v>10226</v>
      </c>
      <c r="AG554" s="2" t="s">
        <v>10227</v>
      </c>
      <c r="AH554" s="2" t="s">
        <v>86</v>
      </c>
      <c r="AI554" s="2" t="s">
        <v>10228</v>
      </c>
      <c r="AJ554" s="2" t="s">
        <v>10229</v>
      </c>
      <c r="AK554" s="2" t="s">
        <v>534</v>
      </c>
      <c r="AL554" s="4">
        <v>2022</v>
      </c>
      <c r="AM554" s="4">
        <v>31</v>
      </c>
      <c r="AN554" s="4">
        <v>1</v>
      </c>
      <c r="AO554" s="2" t="s">
        <v>86</v>
      </c>
      <c r="AP554" s="2" t="s">
        <v>86</v>
      </c>
      <c r="AQ554" s="2" t="s">
        <v>86</v>
      </c>
      <c r="AR554" s="2" t="s">
        <v>86</v>
      </c>
      <c r="AS554" s="4">
        <v>143</v>
      </c>
      <c r="AT554" s="4">
        <v>160</v>
      </c>
      <c r="AU554" s="2" t="s">
        <v>86</v>
      </c>
      <c r="AV554" s="2" t="s">
        <v>86</v>
      </c>
      <c r="AW554" s="2" t="s">
        <v>1781</v>
      </c>
      <c r="AX554" s="4">
        <v>18</v>
      </c>
      <c r="AY554" s="2" t="s">
        <v>3962</v>
      </c>
      <c r="AZ554" s="2" t="s">
        <v>92</v>
      </c>
      <c r="BA554" s="2" t="s">
        <v>3963</v>
      </c>
      <c r="BB554" s="2" t="s">
        <v>10230</v>
      </c>
      <c r="BC554" s="2" t="s">
        <v>86</v>
      </c>
      <c r="BD554" s="2" t="s">
        <v>86</v>
      </c>
      <c r="BE554" s="2" t="s">
        <v>86</v>
      </c>
      <c r="BF554" s="2" t="s">
        <v>86</v>
      </c>
      <c r="BG554" s="2" t="s">
        <v>95</v>
      </c>
      <c r="BH554" s="2" t="s">
        <v>10231</v>
      </c>
      <c r="BI554" s="2" t="str">
        <f>HYPERLINK("https%3A%2F%2Fwww.webofscience.com%2Fwos%2Fwoscc%2Ffull-record%2FWOS:000721661200001","View Full Record in Web of Science")</f>
        <v>View Full Record in Web of Science</v>
      </c>
    </row>
    <row r="555" spans="1:61" customFormat="1" ht="12.75" x14ac:dyDescent="0.2">
      <c r="A555" s="1">
        <v>552</v>
      </c>
      <c r="B555" s="1" t="s">
        <v>1068</v>
      </c>
      <c r="C555" s="1" t="s">
        <v>10232</v>
      </c>
      <c r="D555" s="2" t="s">
        <v>10233</v>
      </c>
      <c r="E555" s="2" t="s">
        <v>10234</v>
      </c>
      <c r="F555" s="3" t="str">
        <f>HYPERLINK("http://dx.doi.org/10.1021/acs.iecr.2c04091","http://dx.doi.org/10.1021/acs.iecr.2c04091")</f>
        <v>http://dx.doi.org/10.1021/acs.iecr.2c04091</v>
      </c>
      <c r="G555" s="2" t="s">
        <v>200</v>
      </c>
      <c r="H555" s="2" t="s">
        <v>10235</v>
      </c>
      <c r="I555" s="2" t="s">
        <v>10236</v>
      </c>
      <c r="J555" s="2" t="s">
        <v>10237</v>
      </c>
      <c r="K555" s="2" t="s">
        <v>68</v>
      </c>
      <c r="L555" s="2" t="s">
        <v>86</v>
      </c>
      <c r="M555" s="2" t="s">
        <v>10238</v>
      </c>
      <c r="N555" s="2" t="s">
        <v>10239</v>
      </c>
      <c r="O555" s="2" t="s">
        <v>10240</v>
      </c>
      <c r="P555" s="2" t="s">
        <v>10241</v>
      </c>
      <c r="Q555" s="2" t="s">
        <v>10242</v>
      </c>
      <c r="R555" s="2" t="s">
        <v>10243</v>
      </c>
      <c r="S555" s="2" t="s">
        <v>10244</v>
      </c>
      <c r="T555" s="2" t="s">
        <v>86</v>
      </c>
      <c r="U555" s="2" t="s">
        <v>86</v>
      </c>
      <c r="V555" s="2" t="s">
        <v>86</v>
      </c>
      <c r="W555" s="2" t="s">
        <v>80</v>
      </c>
      <c r="X555" s="4">
        <v>120</v>
      </c>
      <c r="Y555" s="4">
        <v>1</v>
      </c>
      <c r="Z555" s="4">
        <v>1</v>
      </c>
      <c r="AA555" s="4">
        <v>5</v>
      </c>
      <c r="AB555" s="4">
        <v>5</v>
      </c>
      <c r="AC555" s="2" t="s">
        <v>461</v>
      </c>
      <c r="AD555" s="2" t="s">
        <v>462</v>
      </c>
      <c r="AE555" s="2" t="s">
        <v>463</v>
      </c>
      <c r="AF555" s="2" t="s">
        <v>10245</v>
      </c>
      <c r="AG555" s="2" t="s">
        <v>86</v>
      </c>
      <c r="AH555" s="2" t="s">
        <v>86</v>
      </c>
      <c r="AI555" s="2" t="s">
        <v>10246</v>
      </c>
      <c r="AJ555" s="2" t="s">
        <v>10247</v>
      </c>
      <c r="AK555" s="2" t="s">
        <v>10248</v>
      </c>
      <c r="AL555" s="4">
        <v>2023</v>
      </c>
      <c r="AM555" s="4">
        <v>62</v>
      </c>
      <c r="AN555" s="4">
        <v>11</v>
      </c>
      <c r="AO555" s="2" t="s">
        <v>86</v>
      </c>
      <c r="AP555" s="2" t="s">
        <v>86</v>
      </c>
      <c r="AQ555" s="2" t="s">
        <v>86</v>
      </c>
      <c r="AR555" s="2" t="s">
        <v>86</v>
      </c>
      <c r="AS555" s="4">
        <v>4754</v>
      </c>
      <c r="AT555" s="4">
        <v>4764</v>
      </c>
      <c r="AU555" s="2" t="s">
        <v>86</v>
      </c>
      <c r="AV555" s="2" t="s">
        <v>86</v>
      </c>
      <c r="AW555" s="2" t="s">
        <v>1221</v>
      </c>
      <c r="AX555" s="4">
        <v>11</v>
      </c>
      <c r="AY555" s="2" t="s">
        <v>10249</v>
      </c>
      <c r="AZ555" s="2" t="s">
        <v>92</v>
      </c>
      <c r="BA555" s="2" t="s">
        <v>345</v>
      </c>
      <c r="BB555" s="2" t="s">
        <v>10250</v>
      </c>
      <c r="BC555" s="2" t="s">
        <v>86</v>
      </c>
      <c r="BD555" s="2" t="s">
        <v>86</v>
      </c>
      <c r="BE555" s="2" t="s">
        <v>86</v>
      </c>
      <c r="BF555" s="2" t="s">
        <v>86</v>
      </c>
      <c r="BG555" s="2" t="s">
        <v>95</v>
      </c>
      <c r="BH555" s="2" t="s">
        <v>10251</v>
      </c>
      <c r="BI555" s="2" t="str">
        <f>HYPERLINK("https%3A%2F%2Fwww.webofscience.com%2Fwos%2Fwoscc%2Ffull-record%2FWOS:000953907500001","View Full Record in Web of Science")</f>
        <v>View Full Record in Web of Science</v>
      </c>
    </row>
    <row r="556" spans="1:61" customFormat="1" ht="12.75" x14ac:dyDescent="0.2">
      <c r="A556" s="1">
        <v>553</v>
      </c>
      <c r="B556" s="1" t="s">
        <v>1068</v>
      </c>
      <c r="C556" s="1" t="s">
        <v>10252</v>
      </c>
      <c r="D556" s="2" t="s">
        <v>10253</v>
      </c>
      <c r="E556" s="2" t="s">
        <v>10254</v>
      </c>
      <c r="F556" s="3" t="str">
        <f>HYPERLINK("http://dx.doi.org/10.1016/j.cscm.2022.e01208","http://dx.doi.org/10.1016/j.cscm.2022.e01208")</f>
        <v>http://dx.doi.org/10.1016/j.cscm.2022.e01208</v>
      </c>
      <c r="G556" s="2" t="s">
        <v>200</v>
      </c>
      <c r="H556" s="2" t="s">
        <v>10255</v>
      </c>
      <c r="I556" s="2" t="s">
        <v>10256</v>
      </c>
      <c r="J556" s="2" t="s">
        <v>10257</v>
      </c>
      <c r="K556" s="2" t="s">
        <v>68</v>
      </c>
      <c r="L556" s="2" t="s">
        <v>10258</v>
      </c>
      <c r="M556" s="2" t="s">
        <v>10259</v>
      </c>
      <c r="N556" s="2" t="s">
        <v>10260</v>
      </c>
      <c r="O556" s="2" t="s">
        <v>10261</v>
      </c>
      <c r="P556" s="2" t="s">
        <v>10262</v>
      </c>
      <c r="Q556" s="2" t="s">
        <v>10263</v>
      </c>
      <c r="R556" s="2" t="s">
        <v>10264</v>
      </c>
      <c r="S556" s="2" t="s">
        <v>10265</v>
      </c>
      <c r="T556" s="2" t="s">
        <v>86</v>
      </c>
      <c r="U556" s="2" t="s">
        <v>86</v>
      </c>
      <c r="V556" s="2" t="s">
        <v>86</v>
      </c>
      <c r="W556" s="2" t="s">
        <v>80</v>
      </c>
      <c r="X556" s="4">
        <v>57</v>
      </c>
      <c r="Y556" s="4">
        <v>5</v>
      </c>
      <c r="Z556" s="4">
        <v>5</v>
      </c>
      <c r="AA556" s="4">
        <v>3</v>
      </c>
      <c r="AB556" s="4">
        <v>13</v>
      </c>
      <c r="AC556" s="2" t="s">
        <v>585</v>
      </c>
      <c r="AD556" s="2" t="s">
        <v>586</v>
      </c>
      <c r="AE556" s="2" t="s">
        <v>587</v>
      </c>
      <c r="AF556" s="2" t="s">
        <v>10266</v>
      </c>
      <c r="AG556" s="2" t="s">
        <v>86</v>
      </c>
      <c r="AH556" s="2" t="s">
        <v>86</v>
      </c>
      <c r="AI556" s="2" t="s">
        <v>10267</v>
      </c>
      <c r="AJ556" s="2" t="s">
        <v>10268</v>
      </c>
      <c r="AK556" s="2" t="s">
        <v>217</v>
      </c>
      <c r="AL556" s="4">
        <v>2022</v>
      </c>
      <c r="AM556" s="4">
        <v>17</v>
      </c>
      <c r="AN556" s="2" t="s">
        <v>86</v>
      </c>
      <c r="AO556" s="2" t="s">
        <v>86</v>
      </c>
      <c r="AP556" s="2" t="s">
        <v>86</v>
      </c>
      <c r="AQ556" s="2" t="s">
        <v>86</v>
      </c>
      <c r="AR556" s="2" t="s">
        <v>86</v>
      </c>
      <c r="AS556" s="2" t="s">
        <v>86</v>
      </c>
      <c r="AT556" s="2" t="s">
        <v>86</v>
      </c>
      <c r="AU556" s="2" t="s">
        <v>10269</v>
      </c>
      <c r="AV556" s="2" t="s">
        <v>86</v>
      </c>
      <c r="AW556" s="2" t="s">
        <v>1289</v>
      </c>
      <c r="AX556" s="4">
        <v>22</v>
      </c>
      <c r="AY556" s="2" t="s">
        <v>4441</v>
      </c>
      <c r="AZ556" s="2" t="s">
        <v>92</v>
      </c>
      <c r="BA556" s="2" t="s">
        <v>4442</v>
      </c>
      <c r="BB556" s="2" t="s">
        <v>10270</v>
      </c>
      <c r="BC556" s="2" t="s">
        <v>86</v>
      </c>
      <c r="BD556" s="2" t="s">
        <v>321</v>
      </c>
      <c r="BE556" s="2" t="s">
        <v>86</v>
      </c>
      <c r="BF556" s="2" t="s">
        <v>86</v>
      </c>
      <c r="BG556" s="2" t="s">
        <v>95</v>
      </c>
      <c r="BH556" s="2" t="s">
        <v>10271</v>
      </c>
      <c r="BI556" s="2" t="str">
        <f>HYPERLINK("https%3A%2F%2Fwww.webofscience.com%2Fwos%2Fwoscc%2Ffull-record%2FWOS:000812933300002","View Full Record in Web of Science")</f>
        <v>View Full Record in Web of Science</v>
      </c>
    </row>
    <row r="557" spans="1:61" customFormat="1" ht="12.75" x14ac:dyDescent="0.2">
      <c r="A557" s="1">
        <v>554</v>
      </c>
      <c r="B557" s="1" t="s">
        <v>1068</v>
      </c>
      <c r="C557" s="1" t="s">
        <v>10272</v>
      </c>
      <c r="D557" s="2" t="s">
        <v>10273</v>
      </c>
      <c r="E557" s="2" t="s">
        <v>10274</v>
      </c>
      <c r="F557" s="3" t="str">
        <f>HYPERLINK("http://dx.doi.org/10.3964/j.issn.1000-059(2023)01-0100-07","http://dx.doi.org/10.3964/j.issn.1000-059(2023)01-0100-07")</f>
        <v>http://dx.doi.org/10.3964/j.issn.1000-059(2023)01-0100-07</v>
      </c>
      <c r="G557" s="2" t="s">
        <v>200</v>
      </c>
      <c r="H557" s="2" t="s">
        <v>10275</v>
      </c>
      <c r="I557" s="2" t="s">
        <v>10276</v>
      </c>
      <c r="J557" s="2" t="s">
        <v>10277</v>
      </c>
      <c r="K557" s="2" t="s">
        <v>10278</v>
      </c>
      <c r="L557" s="2" t="s">
        <v>10279</v>
      </c>
      <c r="M557" s="2" t="s">
        <v>10280</v>
      </c>
      <c r="N557" s="2" t="s">
        <v>10281</v>
      </c>
      <c r="O557" s="2" t="s">
        <v>10282</v>
      </c>
      <c r="P557" s="2" t="s">
        <v>10283</v>
      </c>
      <c r="Q557" s="2" t="s">
        <v>10284</v>
      </c>
      <c r="R557" s="2" t="s">
        <v>86</v>
      </c>
      <c r="S557" s="2" t="s">
        <v>86</v>
      </c>
      <c r="T557" s="2" t="s">
        <v>86</v>
      </c>
      <c r="U557" s="2" t="s">
        <v>86</v>
      </c>
      <c r="V557" s="2" t="s">
        <v>86</v>
      </c>
      <c r="W557" s="2" t="s">
        <v>80</v>
      </c>
      <c r="X557" s="4">
        <v>21</v>
      </c>
      <c r="Y557" s="4">
        <v>0</v>
      </c>
      <c r="Z557" s="4">
        <v>0</v>
      </c>
      <c r="AA557" s="4">
        <v>4</v>
      </c>
      <c r="AB557" s="4">
        <v>4</v>
      </c>
      <c r="AC557" s="2" t="s">
        <v>10285</v>
      </c>
      <c r="AD557" s="2" t="s">
        <v>1253</v>
      </c>
      <c r="AE557" s="2" t="s">
        <v>10286</v>
      </c>
      <c r="AF557" s="2" t="s">
        <v>10287</v>
      </c>
      <c r="AG557" s="2" t="s">
        <v>86</v>
      </c>
      <c r="AH557" s="2" t="s">
        <v>86</v>
      </c>
      <c r="AI557" s="2" t="s">
        <v>10288</v>
      </c>
      <c r="AJ557" s="2" t="s">
        <v>10289</v>
      </c>
      <c r="AK557" s="2" t="s">
        <v>534</v>
      </c>
      <c r="AL557" s="4">
        <v>2023</v>
      </c>
      <c r="AM557" s="4">
        <v>43</v>
      </c>
      <c r="AN557" s="4">
        <v>1</v>
      </c>
      <c r="AO557" s="2" t="s">
        <v>86</v>
      </c>
      <c r="AP557" s="2" t="s">
        <v>86</v>
      </c>
      <c r="AQ557" s="2" t="s">
        <v>86</v>
      </c>
      <c r="AR557" s="2" t="s">
        <v>86</v>
      </c>
      <c r="AS557" s="4">
        <v>100</v>
      </c>
      <c r="AT557" s="4">
        <v>106</v>
      </c>
      <c r="AU557" s="2" t="s">
        <v>86</v>
      </c>
      <c r="AV557" s="2" t="s">
        <v>86</v>
      </c>
      <c r="AW557" s="2" t="s">
        <v>86</v>
      </c>
      <c r="AX557" s="4">
        <v>7</v>
      </c>
      <c r="AY557" s="2" t="s">
        <v>5788</v>
      </c>
      <c r="AZ557" s="2" t="s">
        <v>92</v>
      </c>
      <c r="BA557" s="2" t="s">
        <v>5788</v>
      </c>
      <c r="BB557" s="2" t="s">
        <v>10290</v>
      </c>
      <c r="BC557" s="2" t="s">
        <v>86</v>
      </c>
      <c r="BD557" s="2" t="s">
        <v>86</v>
      </c>
      <c r="BE557" s="2" t="s">
        <v>86</v>
      </c>
      <c r="BF557" s="2" t="s">
        <v>86</v>
      </c>
      <c r="BG557" s="2" t="s">
        <v>95</v>
      </c>
      <c r="BH557" s="2" t="s">
        <v>10291</v>
      </c>
      <c r="BI557" s="2" t="str">
        <f>HYPERLINK("https%3A%2F%2Fwww.webofscience.com%2Fwos%2Fwoscc%2Ffull-record%2FWOS:000934923800015","View Full Record in Web of Science")</f>
        <v>View Full Record in Web of Science</v>
      </c>
    </row>
    <row r="558" spans="1:61" customFormat="1" ht="12.75" x14ac:dyDescent="0.2">
      <c r="A558" s="1">
        <v>555</v>
      </c>
      <c r="B558" s="1" t="s">
        <v>1068</v>
      </c>
      <c r="C558" s="1" t="s">
        <v>10292</v>
      </c>
      <c r="D558" s="2" t="s">
        <v>10293</v>
      </c>
      <c r="E558" s="2" t="s">
        <v>10294</v>
      </c>
      <c r="F558" s="3" t="str">
        <f>HYPERLINK("http://dx.doi.org/10.1039/d2an00399f","http://dx.doi.org/10.1039/d2an00399f")</f>
        <v>http://dx.doi.org/10.1039/d2an00399f</v>
      </c>
      <c r="G558" s="2" t="s">
        <v>200</v>
      </c>
      <c r="H558" s="2" t="s">
        <v>10295</v>
      </c>
      <c r="I558" s="2" t="s">
        <v>10296</v>
      </c>
      <c r="J558" s="2" t="s">
        <v>10297</v>
      </c>
      <c r="K558" s="2" t="s">
        <v>68</v>
      </c>
      <c r="L558" s="2" t="s">
        <v>86</v>
      </c>
      <c r="M558" s="2" t="s">
        <v>10298</v>
      </c>
      <c r="N558" s="2" t="s">
        <v>10299</v>
      </c>
      <c r="O558" s="2" t="s">
        <v>10300</v>
      </c>
      <c r="P558" s="2" t="s">
        <v>10301</v>
      </c>
      <c r="Q558" s="2" t="s">
        <v>10302</v>
      </c>
      <c r="R558" s="2" t="s">
        <v>10303</v>
      </c>
      <c r="S558" s="2" t="s">
        <v>10304</v>
      </c>
      <c r="T558" s="2" t="s">
        <v>10305</v>
      </c>
      <c r="U558" s="2" t="s">
        <v>10306</v>
      </c>
      <c r="V558" s="2" t="s">
        <v>10307</v>
      </c>
      <c r="W558" s="2" t="s">
        <v>80</v>
      </c>
      <c r="X558" s="4">
        <v>39</v>
      </c>
      <c r="Y558" s="4">
        <v>0</v>
      </c>
      <c r="Z558" s="4">
        <v>0</v>
      </c>
      <c r="AA558" s="4">
        <v>3</v>
      </c>
      <c r="AB558" s="4">
        <v>13</v>
      </c>
      <c r="AC558" s="2" t="s">
        <v>4612</v>
      </c>
      <c r="AD558" s="2" t="s">
        <v>4613</v>
      </c>
      <c r="AE558" s="2" t="s">
        <v>4614</v>
      </c>
      <c r="AF558" s="2" t="s">
        <v>10308</v>
      </c>
      <c r="AG558" s="2" t="s">
        <v>10309</v>
      </c>
      <c r="AH558" s="2" t="s">
        <v>86</v>
      </c>
      <c r="AI558" s="2" t="s">
        <v>10297</v>
      </c>
      <c r="AJ558" s="2" t="s">
        <v>10310</v>
      </c>
      <c r="AK558" s="2" t="s">
        <v>10311</v>
      </c>
      <c r="AL558" s="4">
        <v>2022</v>
      </c>
      <c r="AM558" s="4">
        <v>147</v>
      </c>
      <c r="AN558" s="4">
        <v>12</v>
      </c>
      <c r="AO558" s="2" t="s">
        <v>86</v>
      </c>
      <c r="AP558" s="2" t="s">
        <v>86</v>
      </c>
      <c r="AQ558" s="2" t="s">
        <v>86</v>
      </c>
      <c r="AR558" s="2" t="s">
        <v>86</v>
      </c>
      <c r="AS558" s="4">
        <v>2644</v>
      </c>
      <c r="AT558" s="4">
        <v>2654</v>
      </c>
      <c r="AU558" s="2" t="s">
        <v>86</v>
      </c>
      <c r="AV558" s="2" t="s">
        <v>86</v>
      </c>
      <c r="AW558" s="2" t="s">
        <v>2863</v>
      </c>
      <c r="AX558" s="4">
        <v>12</v>
      </c>
      <c r="AY558" s="2" t="s">
        <v>900</v>
      </c>
      <c r="AZ558" s="2" t="s">
        <v>92</v>
      </c>
      <c r="BA558" s="2" t="s">
        <v>901</v>
      </c>
      <c r="BB558" s="2" t="s">
        <v>10312</v>
      </c>
      <c r="BC558" s="4">
        <v>35467688</v>
      </c>
      <c r="BD558" s="2" t="s">
        <v>86</v>
      </c>
      <c r="BE558" s="2" t="s">
        <v>86</v>
      </c>
      <c r="BF558" s="2" t="s">
        <v>86</v>
      </c>
      <c r="BG558" s="2" t="s">
        <v>95</v>
      </c>
      <c r="BH558" s="2" t="s">
        <v>10313</v>
      </c>
      <c r="BI558" s="2" t="str">
        <f>HYPERLINK("https%3A%2F%2Fwww.webofscience.com%2Fwos%2Fwoscc%2Ffull-record%2FWOS:000786694500001","View Full Record in Web of Science")</f>
        <v>View Full Record in Web of Science</v>
      </c>
    </row>
    <row r="559" spans="1:61" customFormat="1" ht="12.75" x14ac:dyDescent="0.2">
      <c r="A559" s="1">
        <v>556</v>
      </c>
      <c r="B559" s="1" t="s">
        <v>1068</v>
      </c>
      <c r="C559" s="1" t="s">
        <v>10314</v>
      </c>
      <c r="D559" s="2" t="s">
        <v>10315</v>
      </c>
      <c r="E559" s="2" t="s">
        <v>10316</v>
      </c>
      <c r="F559" s="3" t="str">
        <f>HYPERLINK("http://dx.doi.org/10.1177/0040517519873055","http://dx.doi.org/10.1177/0040517519873055")</f>
        <v>http://dx.doi.org/10.1177/0040517519873055</v>
      </c>
      <c r="G559" s="2" t="s">
        <v>200</v>
      </c>
      <c r="H559" s="2" t="s">
        <v>10317</v>
      </c>
      <c r="I559" s="2" t="s">
        <v>10318</v>
      </c>
      <c r="J559" s="2" t="s">
        <v>10319</v>
      </c>
      <c r="K559" s="2" t="s">
        <v>68</v>
      </c>
      <c r="L559" s="2" t="s">
        <v>10320</v>
      </c>
      <c r="M559" s="2" t="s">
        <v>10321</v>
      </c>
      <c r="N559" s="2" t="s">
        <v>10322</v>
      </c>
      <c r="O559" s="2" t="s">
        <v>10323</v>
      </c>
      <c r="P559" s="2" t="s">
        <v>10324</v>
      </c>
      <c r="Q559" s="2" t="s">
        <v>10325</v>
      </c>
      <c r="R559" s="2" t="s">
        <v>10326</v>
      </c>
      <c r="S559" s="2" t="s">
        <v>10327</v>
      </c>
      <c r="T559" s="2" t="s">
        <v>10328</v>
      </c>
      <c r="U559" s="2" t="s">
        <v>10329</v>
      </c>
      <c r="V559" s="2" t="s">
        <v>10330</v>
      </c>
      <c r="W559" s="2" t="s">
        <v>80</v>
      </c>
      <c r="X559" s="4">
        <v>59</v>
      </c>
      <c r="Y559" s="4">
        <v>4</v>
      </c>
      <c r="Z559" s="4">
        <v>4</v>
      </c>
      <c r="AA559" s="4">
        <v>4</v>
      </c>
      <c r="AB559" s="4">
        <v>28</v>
      </c>
      <c r="AC559" s="2" t="s">
        <v>3309</v>
      </c>
      <c r="AD559" s="2" t="s">
        <v>605</v>
      </c>
      <c r="AE559" s="2" t="s">
        <v>3310</v>
      </c>
      <c r="AF559" s="2" t="s">
        <v>10331</v>
      </c>
      <c r="AG559" s="2" t="s">
        <v>10332</v>
      </c>
      <c r="AH559" s="2" t="s">
        <v>86</v>
      </c>
      <c r="AI559" s="2" t="s">
        <v>10333</v>
      </c>
      <c r="AJ559" s="2" t="s">
        <v>10334</v>
      </c>
      <c r="AK559" s="2" t="s">
        <v>366</v>
      </c>
      <c r="AL559" s="4">
        <v>2020</v>
      </c>
      <c r="AM559" s="4">
        <v>90</v>
      </c>
      <c r="AN559" s="2" t="s">
        <v>10335</v>
      </c>
      <c r="AO559" s="2" t="s">
        <v>86</v>
      </c>
      <c r="AP559" s="2" t="s">
        <v>86</v>
      </c>
      <c r="AQ559" s="2" t="s">
        <v>86</v>
      </c>
      <c r="AR559" s="2" t="s">
        <v>86</v>
      </c>
      <c r="AS559" s="4">
        <v>581</v>
      </c>
      <c r="AT559" s="4">
        <v>592</v>
      </c>
      <c r="AU559" s="4">
        <v>40517519873055</v>
      </c>
      <c r="AV559" s="2" t="s">
        <v>86</v>
      </c>
      <c r="AW559" s="2" t="s">
        <v>964</v>
      </c>
      <c r="AX559" s="4">
        <v>12</v>
      </c>
      <c r="AY559" s="2" t="s">
        <v>3378</v>
      </c>
      <c r="AZ559" s="2" t="s">
        <v>92</v>
      </c>
      <c r="BA559" s="2" t="s">
        <v>3123</v>
      </c>
      <c r="BB559" s="2" t="s">
        <v>10336</v>
      </c>
      <c r="BC559" s="2" t="s">
        <v>86</v>
      </c>
      <c r="BD559" s="2" t="s">
        <v>86</v>
      </c>
      <c r="BE559" s="2" t="s">
        <v>86</v>
      </c>
      <c r="BF559" s="2" t="s">
        <v>86</v>
      </c>
      <c r="BG559" s="2" t="s">
        <v>95</v>
      </c>
      <c r="BH559" s="2" t="s">
        <v>10337</v>
      </c>
      <c r="BI559" s="2" t="str">
        <f>HYPERLINK("https%3A%2F%2Fwww.webofscience.com%2Fwos%2Fwoscc%2Ffull-record%2FWOS:000491709600001","View Full Record in Web of Science")</f>
        <v>View Full Record in Web of Science</v>
      </c>
    </row>
    <row r="560" spans="1:61" customFormat="1" ht="12.75" x14ac:dyDescent="0.2">
      <c r="A560" s="1">
        <v>557</v>
      </c>
      <c r="B560" s="1" t="s">
        <v>1068</v>
      </c>
      <c r="C560" s="1" t="s">
        <v>10338</v>
      </c>
      <c r="D560" s="2" t="s">
        <v>10339</v>
      </c>
      <c r="E560" s="2" t="s">
        <v>10340</v>
      </c>
      <c r="F560" s="3" t="str">
        <f>HYPERLINK("http://dx.doi.org/10.1007/s10113-020-01743-1","http://dx.doi.org/10.1007/s10113-020-01743-1")</f>
        <v>http://dx.doi.org/10.1007/s10113-020-01743-1</v>
      </c>
      <c r="G560" s="2" t="s">
        <v>200</v>
      </c>
      <c r="H560" s="2" t="s">
        <v>10341</v>
      </c>
      <c r="I560" s="2" t="s">
        <v>10342</v>
      </c>
      <c r="J560" s="2" t="s">
        <v>10343</v>
      </c>
      <c r="K560" s="2" t="s">
        <v>68</v>
      </c>
      <c r="L560" s="2" t="s">
        <v>10344</v>
      </c>
      <c r="M560" s="2" t="s">
        <v>10345</v>
      </c>
      <c r="N560" s="2" t="s">
        <v>10346</v>
      </c>
      <c r="O560" s="2" t="s">
        <v>10347</v>
      </c>
      <c r="P560" s="2" t="s">
        <v>10348</v>
      </c>
      <c r="Q560" s="2" t="s">
        <v>10349</v>
      </c>
      <c r="R560" s="2" t="s">
        <v>10350</v>
      </c>
      <c r="S560" s="2" t="s">
        <v>10351</v>
      </c>
      <c r="T560" s="2" t="s">
        <v>10352</v>
      </c>
      <c r="U560" s="2" t="s">
        <v>10352</v>
      </c>
      <c r="V560" s="2" t="s">
        <v>10353</v>
      </c>
      <c r="W560" s="2" t="s">
        <v>80</v>
      </c>
      <c r="X560" s="4">
        <v>88</v>
      </c>
      <c r="Y560" s="4">
        <v>17</v>
      </c>
      <c r="Z560" s="4">
        <v>19</v>
      </c>
      <c r="AA560" s="4">
        <v>2</v>
      </c>
      <c r="AB560" s="4">
        <v>30</v>
      </c>
      <c r="AC560" s="2" t="s">
        <v>81</v>
      </c>
      <c r="AD560" s="2" t="s">
        <v>82</v>
      </c>
      <c r="AE560" s="2" t="s">
        <v>83</v>
      </c>
      <c r="AF560" s="2" t="s">
        <v>10354</v>
      </c>
      <c r="AG560" s="2" t="s">
        <v>10355</v>
      </c>
      <c r="AH560" s="2" t="s">
        <v>86</v>
      </c>
      <c r="AI560" s="2" t="s">
        <v>10356</v>
      </c>
      <c r="AJ560" s="2" t="s">
        <v>10357</v>
      </c>
      <c r="AK560" s="2" t="s">
        <v>342</v>
      </c>
      <c r="AL560" s="4">
        <v>2021</v>
      </c>
      <c r="AM560" s="4">
        <v>21</v>
      </c>
      <c r="AN560" s="4">
        <v>2</v>
      </c>
      <c r="AO560" s="2" t="s">
        <v>86</v>
      </c>
      <c r="AP560" s="2" t="s">
        <v>86</v>
      </c>
      <c r="AQ560" s="2" t="s">
        <v>86</v>
      </c>
      <c r="AR560" s="2" t="s">
        <v>86</v>
      </c>
      <c r="AS560" s="2" t="s">
        <v>86</v>
      </c>
      <c r="AT560" s="2" t="s">
        <v>86</v>
      </c>
      <c r="AU560" s="4">
        <v>33</v>
      </c>
      <c r="AV560" s="2" t="s">
        <v>86</v>
      </c>
      <c r="AW560" s="2" t="s">
        <v>86</v>
      </c>
      <c r="AX560" s="4">
        <v>17</v>
      </c>
      <c r="AY560" s="2" t="s">
        <v>6505</v>
      </c>
      <c r="AZ560" s="2" t="s">
        <v>536</v>
      </c>
      <c r="BA560" s="2" t="s">
        <v>93</v>
      </c>
      <c r="BB560" s="2" t="s">
        <v>10358</v>
      </c>
      <c r="BC560" s="4">
        <v>33776560</v>
      </c>
      <c r="BD560" s="2" t="s">
        <v>10359</v>
      </c>
      <c r="BE560" s="2" t="s">
        <v>86</v>
      </c>
      <c r="BF560" s="2" t="s">
        <v>86</v>
      </c>
      <c r="BG560" s="2" t="s">
        <v>95</v>
      </c>
      <c r="BH560" s="2" t="s">
        <v>10360</v>
      </c>
      <c r="BI560" s="2" t="str">
        <f>HYPERLINK("https%3A%2F%2Fwww.webofscience.com%2Fwos%2Fwoscc%2Ffull-record%2FWOS:000630965400001","View Full Record in Web of Science")</f>
        <v>View Full Record in Web of Science</v>
      </c>
    </row>
    <row r="561" spans="1:61" customFormat="1" ht="12.75" x14ac:dyDescent="0.2">
      <c r="A561" s="1">
        <v>558</v>
      </c>
      <c r="B561" s="1" t="s">
        <v>1068</v>
      </c>
      <c r="C561" s="1" t="s">
        <v>10361</v>
      </c>
      <c r="D561" s="2" t="s">
        <v>10362</v>
      </c>
      <c r="E561" s="2" t="s">
        <v>10363</v>
      </c>
      <c r="F561" s="3" t="str">
        <f>HYPERLINK("http://dx.doi.org/10.1016/j.envres.2023.115530","http://dx.doi.org/10.1016/j.envres.2023.115530")</f>
        <v>http://dx.doi.org/10.1016/j.envres.2023.115530</v>
      </c>
      <c r="G561" s="2" t="s">
        <v>200</v>
      </c>
      <c r="H561" s="2" t="s">
        <v>10364</v>
      </c>
      <c r="I561" s="2" t="s">
        <v>10365</v>
      </c>
      <c r="J561" s="2" t="s">
        <v>1540</v>
      </c>
      <c r="K561" s="2" t="s">
        <v>68</v>
      </c>
      <c r="L561" s="2" t="s">
        <v>10366</v>
      </c>
      <c r="M561" s="2" t="s">
        <v>10367</v>
      </c>
      <c r="N561" s="2" t="s">
        <v>10368</v>
      </c>
      <c r="O561" s="2" t="s">
        <v>10369</v>
      </c>
      <c r="P561" s="2" t="s">
        <v>10370</v>
      </c>
      <c r="Q561" s="2" t="s">
        <v>10371</v>
      </c>
      <c r="R561" s="2" t="s">
        <v>10372</v>
      </c>
      <c r="S561" s="2" t="s">
        <v>10373</v>
      </c>
      <c r="T561" s="2" t="s">
        <v>86</v>
      </c>
      <c r="U561" s="2" t="s">
        <v>86</v>
      </c>
      <c r="V561" s="2" t="s">
        <v>86</v>
      </c>
      <c r="W561" s="2" t="s">
        <v>80</v>
      </c>
      <c r="X561" s="4">
        <v>289</v>
      </c>
      <c r="Y561" s="4">
        <v>1</v>
      </c>
      <c r="Z561" s="4">
        <v>1</v>
      </c>
      <c r="AA561" s="4">
        <v>21</v>
      </c>
      <c r="AB561" s="4">
        <v>21</v>
      </c>
      <c r="AC561" s="2" t="s">
        <v>1550</v>
      </c>
      <c r="AD561" s="2" t="s">
        <v>1551</v>
      </c>
      <c r="AE561" s="2" t="s">
        <v>1552</v>
      </c>
      <c r="AF561" s="2" t="s">
        <v>1553</v>
      </c>
      <c r="AG561" s="2" t="s">
        <v>1554</v>
      </c>
      <c r="AH561" s="2" t="s">
        <v>86</v>
      </c>
      <c r="AI561" s="2" t="s">
        <v>1555</v>
      </c>
      <c r="AJ561" s="2" t="s">
        <v>1556</v>
      </c>
      <c r="AK561" s="2" t="s">
        <v>1306</v>
      </c>
      <c r="AL561" s="4">
        <v>2023</v>
      </c>
      <c r="AM561" s="4">
        <v>226</v>
      </c>
      <c r="AN561" s="2" t="s">
        <v>86</v>
      </c>
      <c r="AO561" s="2" t="s">
        <v>86</v>
      </c>
      <c r="AP561" s="2" t="s">
        <v>86</v>
      </c>
      <c r="AQ561" s="2" t="s">
        <v>86</v>
      </c>
      <c r="AR561" s="2" t="s">
        <v>86</v>
      </c>
      <c r="AS561" s="2" t="s">
        <v>86</v>
      </c>
      <c r="AT561" s="2" t="s">
        <v>86</v>
      </c>
      <c r="AU561" s="4">
        <v>115530</v>
      </c>
      <c r="AV561" s="2" t="s">
        <v>86</v>
      </c>
      <c r="AW561" s="2" t="s">
        <v>1221</v>
      </c>
      <c r="AX561" s="4">
        <v>18</v>
      </c>
      <c r="AY561" s="2" t="s">
        <v>720</v>
      </c>
      <c r="AZ561" s="2" t="s">
        <v>92</v>
      </c>
      <c r="BA561" s="2" t="s">
        <v>721</v>
      </c>
      <c r="BB561" s="2" t="s">
        <v>10374</v>
      </c>
      <c r="BC561" s="4">
        <v>36863653</v>
      </c>
      <c r="BD561" s="2" t="s">
        <v>86</v>
      </c>
      <c r="BE561" s="2" t="s">
        <v>86</v>
      </c>
      <c r="BF561" s="2" t="s">
        <v>86</v>
      </c>
      <c r="BG561" s="2" t="s">
        <v>95</v>
      </c>
      <c r="BH561" s="2" t="s">
        <v>10375</v>
      </c>
      <c r="BI561" s="2" t="str">
        <f>HYPERLINK("https%3A%2F%2Fwww.webofscience.com%2Fwos%2Fwoscc%2Ffull-record%2FWOS:000959773500001","View Full Record in Web of Science")</f>
        <v>View Full Record in Web of Science</v>
      </c>
    </row>
    <row r="562" spans="1:61" customFormat="1" ht="12.75" x14ac:dyDescent="0.2">
      <c r="A562" s="1">
        <v>559</v>
      </c>
      <c r="B562" s="1" t="s">
        <v>1068</v>
      </c>
      <c r="C562" s="1" t="s">
        <v>10376</v>
      </c>
      <c r="D562" s="2" t="s">
        <v>10377</v>
      </c>
      <c r="E562" s="2" t="s">
        <v>10378</v>
      </c>
      <c r="F562" s="3" t="str">
        <f>HYPERLINK("http://dx.doi.org/10.1080/21688370.2022.2133877","http://dx.doi.org/10.1080/21688370.2022.2133877")</f>
        <v>http://dx.doi.org/10.1080/21688370.2022.2133877</v>
      </c>
      <c r="G562" s="2" t="s">
        <v>248</v>
      </c>
      <c r="H562" s="2" t="s">
        <v>10379</v>
      </c>
      <c r="I562" s="2" t="s">
        <v>10380</v>
      </c>
      <c r="J562" s="2" t="s">
        <v>10381</v>
      </c>
      <c r="K562" s="2" t="s">
        <v>68</v>
      </c>
      <c r="L562" s="2" t="s">
        <v>10382</v>
      </c>
      <c r="M562" s="2" t="s">
        <v>10383</v>
      </c>
      <c r="N562" s="2" t="s">
        <v>10384</v>
      </c>
      <c r="O562" s="2" t="s">
        <v>10385</v>
      </c>
      <c r="P562" s="2" t="s">
        <v>10386</v>
      </c>
      <c r="Q562" s="2" t="s">
        <v>10387</v>
      </c>
      <c r="R562" s="2" t="s">
        <v>10388</v>
      </c>
      <c r="S562" s="2" t="s">
        <v>10389</v>
      </c>
      <c r="T562" s="2" t="s">
        <v>86</v>
      </c>
      <c r="U562" s="2" t="s">
        <v>86</v>
      </c>
      <c r="V562" s="2" t="s">
        <v>86</v>
      </c>
      <c r="W562" s="2" t="s">
        <v>80</v>
      </c>
      <c r="X562" s="4">
        <v>274</v>
      </c>
      <c r="Y562" s="4">
        <v>4</v>
      </c>
      <c r="Z562" s="4">
        <v>4</v>
      </c>
      <c r="AA562" s="4">
        <v>2</v>
      </c>
      <c r="AB562" s="4">
        <v>16</v>
      </c>
      <c r="AC562" s="2" t="s">
        <v>260</v>
      </c>
      <c r="AD562" s="2" t="s">
        <v>261</v>
      </c>
      <c r="AE562" s="2" t="s">
        <v>262</v>
      </c>
      <c r="AF562" s="2" t="s">
        <v>10390</v>
      </c>
      <c r="AG562" s="2" t="s">
        <v>86</v>
      </c>
      <c r="AH562" s="2" t="s">
        <v>86</v>
      </c>
      <c r="AI562" s="2" t="s">
        <v>10381</v>
      </c>
      <c r="AJ562" s="2" t="s">
        <v>10391</v>
      </c>
      <c r="AK562" s="2" t="s">
        <v>10392</v>
      </c>
      <c r="AL562" s="4">
        <v>2022</v>
      </c>
      <c r="AM562" s="2" t="s">
        <v>86</v>
      </c>
      <c r="AN562" s="2" t="s">
        <v>86</v>
      </c>
      <c r="AO562" s="2" t="s">
        <v>86</v>
      </c>
      <c r="AP562" s="2" t="s">
        <v>86</v>
      </c>
      <c r="AQ562" s="2" t="s">
        <v>86</v>
      </c>
      <c r="AR562" s="2" t="s">
        <v>86</v>
      </c>
      <c r="AS562" s="2" t="s">
        <v>86</v>
      </c>
      <c r="AT562" s="2" t="s">
        <v>86</v>
      </c>
      <c r="AU562" s="2" t="s">
        <v>86</v>
      </c>
      <c r="AV562" s="2" t="s">
        <v>86</v>
      </c>
      <c r="AW562" s="2" t="s">
        <v>657</v>
      </c>
      <c r="AX562" s="4">
        <v>29</v>
      </c>
      <c r="AY562" s="2" t="s">
        <v>10393</v>
      </c>
      <c r="AZ562" s="2" t="s">
        <v>171</v>
      </c>
      <c r="BA562" s="2" t="s">
        <v>10394</v>
      </c>
      <c r="BB562" s="2" t="s">
        <v>10395</v>
      </c>
      <c r="BC562" s="4">
        <v>36262078</v>
      </c>
      <c r="BD562" s="2" t="s">
        <v>86</v>
      </c>
      <c r="BE562" s="2" t="s">
        <v>86</v>
      </c>
      <c r="BF562" s="2" t="s">
        <v>86</v>
      </c>
      <c r="BG562" s="2" t="s">
        <v>95</v>
      </c>
      <c r="BH562" s="2" t="s">
        <v>10396</v>
      </c>
      <c r="BI562" s="2" t="str">
        <f>HYPERLINK("https%3A%2F%2Fwww.webofscience.com%2Fwos%2Fwoscc%2Ffull-record%2FWOS:000870529100001","View Full Record in Web of Science")</f>
        <v>View Full Record in Web of Science</v>
      </c>
    </row>
    <row r="563" spans="1:61" customFormat="1" ht="12.75" x14ac:dyDescent="0.2">
      <c r="A563" s="1">
        <v>560</v>
      </c>
      <c r="B563" s="1" t="s">
        <v>1068</v>
      </c>
      <c r="C563" s="1" t="s">
        <v>10397</v>
      </c>
      <c r="D563" s="2" t="s">
        <v>10398</v>
      </c>
      <c r="E563" s="2" t="s">
        <v>10399</v>
      </c>
      <c r="F563" s="3" t="str">
        <f>HYPERLINK("http://dx.doi.org/10.1111/all.15240","http://dx.doi.org/10.1111/all.15240")</f>
        <v>http://dx.doi.org/10.1111/all.15240</v>
      </c>
      <c r="G563" s="2" t="s">
        <v>61</v>
      </c>
      <c r="H563" s="2" t="s">
        <v>10400</v>
      </c>
      <c r="I563" s="2" t="s">
        <v>10401</v>
      </c>
      <c r="J563" s="2" t="s">
        <v>10402</v>
      </c>
      <c r="K563" s="2" t="s">
        <v>68</v>
      </c>
      <c r="L563" s="2" t="s">
        <v>10403</v>
      </c>
      <c r="M563" s="2" t="s">
        <v>10404</v>
      </c>
      <c r="N563" s="2" t="s">
        <v>10405</v>
      </c>
      <c r="O563" s="2" t="s">
        <v>10406</v>
      </c>
      <c r="P563" s="2" t="s">
        <v>10407</v>
      </c>
      <c r="Q563" s="2" t="s">
        <v>10408</v>
      </c>
      <c r="R563" s="2" t="s">
        <v>10409</v>
      </c>
      <c r="S563" s="2" t="s">
        <v>10410</v>
      </c>
      <c r="T563" s="2" t="s">
        <v>86</v>
      </c>
      <c r="U563" s="2" t="s">
        <v>86</v>
      </c>
      <c r="V563" s="2" t="s">
        <v>86</v>
      </c>
      <c r="W563" s="2" t="s">
        <v>80</v>
      </c>
      <c r="X563" s="4">
        <v>386</v>
      </c>
      <c r="Y563" s="4">
        <v>55</v>
      </c>
      <c r="Z563" s="4">
        <v>55</v>
      </c>
      <c r="AA563" s="4">
        <v>33</v>
      </c>
      <c r="AB563" s="4">
        <v>85</v>
      </c>
      <c r="AC563" s="2" t="s">
        <v>956</v>
      </c>
      <c r="AD563" s="2" t="s">
        <v>957</v>
      </c>
      <c r="AE563" s="2" t="s">
        <v>958</v>
      </c>
      <c r="AF563" s="2" t="s">
        <v>10411</v>
      </c>
      <c r="AG563" s="2" t="s">
        <v>10412</v>
      </c>
      <c r="AH563" s="2" t="s">
        <v>86</v>
      </c>
      <c r="AI563" s="2" t="s">
        <v>10402</v>
      </c>
      <c r="AJ563" s="2" t="s">
        <v>10413</v>
      </c>
      <c r="AK563" s="2" t="s">
        <v>1220</v>
      </c>
      <c r="AL563" s="4">
        <v>2022</v>
      </c>
      <c r="AM563" s="4">
        <v>77</v>
      </c>
      <c r="AN563" s="4">
        <v>5</v>
      </c>
      <c r="AO563" s="2" t="s">
        <v>86</v>
      </c>
      <c r="AP563" s="2" t="s">
        <v>86</v>
      </c>
      <c r="AQ563" s="2" t="s">
        <v>86</v>
      </c>
      <c r="AR563" s="2" t="s">
        <v>86</v>
      </c>
      <c r="AS563" s="4">
        <v>1418</v>
      </c>
      <c r="AT563" s="4">
        <v>1449</v>
      </c>
      <c r="AU563" s="2" t="s">
        <v>86</v>
      </c>
      <c r="AV563" s="2" t="s">
        <v>86</v>
      </c>
      <c r="AW563" s="2" t="s">
        <v>2477</v>
      </c>
      <c r="AX563" s="4">
        <v>32</v>
      </c>
      <c r="AY563" s="2" t="s">
        <v>4130</v>
      </c>
      <c r="AZ563" s="2" t="s">
        <v>92</v>
      </c>
      <c r="BA563" s="2" t="s">
        <v>4130</v>
      </c>
      <c r="BB563" s="2" t="s">
        <v>10414</v>
      </c>
      <c r="BC563" s="2" t="s">
        <v>86</v>
      </c>
      <c r="BD563" s="2" t="s">
        <v>9940</v>
      </c>
      <c r="BE563" s="2" t="s">
        <v>86</v>
      </c>
      <c r="BF563" s="2" t="s">
        <v>86</v>
      </c>
      <c r="BG563" s="2" t="s">
        <v>95</v>
      </c>
      <c r="BH563" s="2" t="s">
        <v>10415</v>
      </c>
      <c r="BI563" s="2" t="str">
        <f>HYPERLINK("https%3A%2F%2Fwww.webofscience.com%2Fwos%2Fwoscc%2Ffull-record%2FWOS:000755601200001","View Full Record in Web of Science")</f>
        <v>View Full Record in Web of Science</v>
      </c>
    </row>
    <row r="564" spans="1:61" customFormat="1" ht="12.75" x14ac:dyDescent="0.2">
      <c r="A564" s="1">
        <v>561</v>
      </c>
      <c r="B564" s="1" t="s">
        <v>1068</v>
      </c>
      <c r="C564" s="1" t="s">
        <v>10416</v>
      </c>
      <c r="D564" s="2" t="s">
        <v>10417</v>
      </c>
      <c r="E564" s="2" t="s">
        <v>10418</v>
      </c>
      <c r="F564" s="3" t="str">
        <f>HYPERLINK("http://dx.doi.org/10.3389/fmars.2019.00568","http://dx.doi.org/10.3389/fmars.2019.00568")</f>
        <v>http://dx.doi.org/10.3389/fmars.2019.00568</v>
      </c>
      <c r="G564" s="2" t="s">
        <v>61</v>
      </c>
      <c r="H564" s="2" t="s">
        <v>10419</v>
      </c>
      <c r="I564" s="2" t="s">
        <v>10420</v>
      </c>
      <c r="J564" s="2" t="s">
        <v>775</v>
      </c>
      <c r="K564" s="2" t="s">
        <v>68</v>
      </c>
      <c r="L564" s="2" t="s">
        <v>10421</v>
      </c>
      <c r="M564" s="2" t="s">
        <v>10422</v>
      </c>
      <c r="N564" s="2" t="s">
        <v>10423</v>
      </c>
      <c r="O564" s="2" t="s">
        <v>10424</v>
      </c>
      <c r="P564" s="2" t="s">
        <v>10425</v>
      </c>
      <c r="Q564" s="2" t="s">
        <v>10426</v>
      </c>
      <c r="R564" s="2" t="s">
        <v>10427</v>
      </c>
      <c r="S564" s="2" t="s">
        <v>10428</v>
      </c>
      <c r="T564" s="2" t="s">
        <v>86</v>
      </c>
      <c r="U564" s="2" t="s">
        <v>86</v>
      </c>
      <c r="V564" s="2" t="s">
        <v>86</v>
      </c>
      <c r="W564" s="2" t="s">
        <v>80</v>
      </c>
      <c r="X564" s="4">
        <v>183</v>
      </c>
      <c r="Y564" s="4">
        <v>34</v>
      </c>
      <c r="Z564" s="4">
        <v>34</v>
      </c>
      <c r="AA564" s="4">
        <v>6</v>
      </c>
      <c r="AB564" s="4">
        <v>35</v>
      </c>
      <c r="AC564" s="2" t="s">
        <v>782</v>
      </c>
      <c r="AD564" s="2" t="s">
        <v>783</v>
      </c>
      <c r="AE564" s="2" t="s">
        <v>784</v>
      </c>
      <c r="AF564" s="2" t="s">
        <v>86</v>
      </c>
      <c r="AG564" s="2" t="s">
        <v>785</v>
      </c>
      <c r="AH564" s="2" t="s">
        <v>86</v>
      </c>
      <c r="AI564" s="2" t="s">
        <v>786</v>
      </c>
      <c r="AJ564" s="2" t="s">
        <v>787</v>
      </c>
      <c r="AK564" s="2" t="s">
        <v>10429</v>
      </c>
      <c r="AL564" s="4">
        <v>2019</v>
      </c>
      <c r="AM564" s="4">
        <v>6</v>
      </c>
      <c r="AN564" s="2" t="s">
        <v>86</v>
      </c>
      <c r="AO564" s="2" t="s">
        <v>86</v>
      </c>
      <c r="AP564" s="2" t="s">
        <v>86</v>
      </c>
      <c r="AQ564" s="2" t="s">
        <v>86</v>
      </c>
      <c r="AR564" s="2" t="s">
        <v>86</v>
      </c>
      <c r="AS564" s="2" t="s">
        <v>86</v>
      </c>
      <c r="AT564" s="2" t="s">
        <v>86</v>
      </c>
      <c r="AU564" s="4">
        <v>568</v>
      </c>
      <c r="AV564" s="2" t="s">
        <v>86</v>
      </c>
      <c r="AW564" s="2" t="s">
        <v>86</v>
      </c>
      <c r="AX564" s="4">
        <v>30</v>
      </c>
      <c r="AY564" s="2" t="s">
        <v>441</v>
      </c>
      <c r="AZ564" s="2" t="s">
        <v>92</v>
      </c>
      <c r="BA564" s="2" t="s">
        <v>442</v>
      </c>
      <c r="BB564" s="2" t="s">
        <v>10430</v>
      </c>
      <c r="BC564" s="2" t="s">
        <v>86</v>
      </c>
      <c r="BD564" s="2" t="s">
        <v>539</v>
      </c>
      <c r="BE564" s="2" t="s">
        <v>86</v>
      </c>
      <c r="BF564" s="2" t="s">
        <v>86</v>
      </c>
      <c r="BG564" s="2" t="s">
        <v>95</v>
      </c>
      <c r="BH564" s="2" t="s">
        <v>10431</v>
      </c>
      <c r="BI564" s="2" t="str">
        <f>HYPERLINK("https%3A%2F%2Fwww.webofscience.com%2Fwos%2Fwoscc%2Ffull-record%2FWOS:000485752100001","View Full Record in Web of Science")</f>
        <v>View Full Record in Web of Science</v>
      </c>
    </row>
    <row r="565" spans="1:61" customFormat="1" ht="12.75" x14ac:dyDescent="0.2">
      <c r="A565" s="1">
        <v>562</v>
      </c>
      <c r="B565" s="1" t="s">
        <v>1068</v>
      </c>
      <c r="C565" s="1" t="s">
        <v>10432</v>
      </c>
      <c r="D565" s="2" t="s">
        <v>10433</v>
      </c>
      <c r="E565" s="2" t="s">
        <v>10434</v>
      </c>
      <c r="F565" s="3" t="str">
        <f>HYPERLINK("http://dx.doi.org/10.3390/atmos14030470","http://dx.doi.org/10.3390/atmos14030470")</f>
        <v>http://dx.doi.org/10.3390/atmos14030470</v>
      </c>
      <c r="G565" s="2" t="s">
        <v>200</v>
      </c>
      <c r="H565" s="2" t="s">
        <v>10435</v>
      </c>
      <c r="I565" s="2" t="s">
        <v>10436</v>
      </c>
      <c r="J565" s="2" t="s">
        <v>10437</v>
      </c>
      <c r="K565" s="2" t="s">
        <v>68</v>
      </c>
      <c r="L565" s="2" t="s">
        <v>10438</v>
      </c>
      <c r="M565" s="2" t="s">
        <v>10439</v>
      </c>
      <c r="N565" s="2" t="s">
        <v>10440</v>
      </c>
      <c r="O565" s="2" t="s">
        <v>10441</v>
      </c>
      <c r="P565" s="2" t="s">
        <v>10442</v>
      </c>
      <c r="Q565" s="2" t="s">
        <v>10443</v>
      </c>
      <c r="R565" s="2" t="s">
        <v>10444</v>
      </c>
      <c r="S565" s="2" t="s">
        <v>10445</v>
      </c>
      <c r="T565" s="2" t="s">
        <v>86</v>
      </c>
      <c r="U565" s="2" t="s">
        <v>86</v>
      </c>
      <c r="V565" s="2" t="s">
        <v>86</v>
      </c>
      <c r="W565" s="2" t="s">
        <v>80</v>
      </c>
      <c r="X565" s="4">
        <v>193</v>
      </c>
      <c r="Y565" s="4">
        <v>1</v>
      </c>
      <c r="Z565" s="4">
        <v>1</v>
      </c>
      <c r="AA565" s="4">
        <v>14</v>
      </c>
      <c r="AB565" s="4">
        <v>14</v>
      </c>
      <c r="AC565" s="2" t="s">
        <v>211</v>
      </c>
      <c r="AD565" s="2" t="s">
        <v>212</v>
      </c>
      <c r="AE565" s="2" t="s">
        <v>213</v>
      </c>
      <c r="AF565" s="2" t="s">
        <v>86</v>
      </c>
      <c r="AG565" s="2" t="s">
        <v>10446</v>
      </c>
      <c r="AH565" s="2" t="s">
        <v>86</v>
      </c>
      <c r="AI565" s="2" t="s">
        <v>10447</v>
      </c>
      <c r="AJ565" s="2" t="s">
        <v>10448</v>
      </c>
      <c r="AK565" s="2" t="s">
        <v>366</v>
      </c>
      <c r="AL565" s="4">
        <v>2023</v>
      </c>
      <c r="AM565" s="4">
        <v>14</v>
      </c>
      <c r="AN565" s="4">
        <v>3</v>
      </c>
      <c r="AO565" s="2" t="s">
        <v>86</v>
      </c>
      <c r="AP565" s="2" t="s">
        <v>86</v>
      </c>
      <c r="AQ565" s="2" t="s">
        <v>86</v>
      </c>
      <c r="AR565" s="2" t="s">
        <v>86</v>
      </c>
      <c r="AS565" s="2" t="s">
        <v>86</v>
      </c>
      <c r="AT565" s="2" t="s">
        <v>86</v>
      </c>
      <c r="AU565" s="4">
        <v>470</v>
      </c>
      <c r="AV565" s="2" t="s">
        <v>86</v>
      </c>
      <c r="AW565" s="2" t="s">
        <v>86</v>
      </c>
      <c r="AX565" s="4">
        <v>22</v>
      </c>
      <c r="AY565" s="2" t="s">
        <v>10449</v>
      </c>
      <c r="AZ565" s="2" t="s">
        <v>92</v>
      </c>
      <c r="BA565" s="2" t="s">
        <v>10450</v>
      </c>
      <c r="BB565" s="2" t="s">
        <v>10451</v>
      </c>
      <c r="BC565" s="2" t="s">
        <v>86</v>
      </c>
      <c r="BD565" s="2" t="s">
        <v>321</v>
      </c>
      <c r="BE565" s="2" t="s">
        <v>86</v>
      </c>
      <c r="BF565" s="2" t="s">
        <v>86</v>
      </c>
      <c r="BG565" s="2" t="s">
        <v>95</v>
      </c>
      <c r="BH565" s="2" t="s">
        <v>10452</v>
      </c>
      <c r="BI565" s="2" t="str">
        <f>HYPERLINK("https%3A%2F%2Fwww.webofscience.com%2Fwos%2Fwoscc%2Ffull-record%2FWOS:000953843500001","View Full Record in Web of Science")</f>
        <v>View Full Record in Web of Science</v>
      </c>
    </row>
    <row r="566" spans="1:61" customFormat="1" ht="12.75" x14ac:dyDescent="0.2">
      <c r="A566" s="1">
        <v>563</v>
      </c>
      <c r="B566" s="1" t="s">
        <v>1068</v>
      </c>
      <c r="C566" s="1" t="s">
        <v>10453</v>
      </c>
      <c r="D566" s="2" t="s">
        <v>10454</v>
      </c>
      <c r="E566" s="2" t="s">
        <v>10455</v>
      </c>
      <c r="F566" s="3" t="str">
        <f>HYPERLINK("http://dx.doi.org/10.1111/j.1745-4514.2011.00621.x","http://dx.doi.org/10.1111/j.1745-4514.2011.00621.x")</f>
        <v>http://dx.doi.org/10.1111/j.1745-4514.2011.00621.x</v>
      </c>
      <c r="G566" s="2" t="s">
        <v>200</v>
      </c>
      <c r="H566" s="2" t="s">
        <v>10456</v>
      </c>
      <c r="I566" s="2" t="s">
        <v>10457</v>
      </c>
      <c r="J566" s="2" t="s">
        <v>10458</v>
      </c>
      <c r="K566" s="2" t="s">
        <v>68</v>
      </c>
      <c r="L566" s="2" t="s">
        <v>86</v>
      </c>
      <c r="M566" s="2" t="s">
        <v>10459</v>
      </c>
      <c r="N566" s="2" t="s">
        <v>10460</v>
      </c>
      <c r="O566" s="2" t="s">
        <v>624</v>
      </c>
      <c r="P566" s="2" t="s">
        <v>10461</v>
      </c>
      <c r="Q566" s="2" t="s">
        <v>10462</v>
      </c>
      <c r="R566" s="2" t="s">
        <v>10463</v>
      </c>
      <c r="S566" s="2" t="s">
        <v>10464</v>
      </c>
      <c r="T566" s="2" t="s">
        <v>10465</v>
      </c>
      <c r="U566" s="2" t="s">
        <v>10466</v>
      </c>
      <c r="V566" s="2" t="s">
        <v>10467</v>
      </c>
      <c r="W566" s="2" t="s">
        <v>80</v>
      </c>
      <c r="X566" s="4">
        <v>40</v>
      </c>
      <c r="Y566" s="4">
        <v>2</v>
      </c>
      <c r="Z566" s="4">
        <v>2</v>
      </c>
      <c r="AA566" s="4">
        <v>0</v>
      </c>
      <c r="AB566" s="4">
        <v>25</v>
      </c>
      <c r="AC566" s="2" t="s">
        <v>5911</v>
      </c>
      <c r="AD566" s="2" t="s">
        <v>957</v>
      </c>
      <c r="AE566" s="2" t="s">
        <v>958</v>
      </c>
      <c r="AF566" s="2" t="s">
        <v>10468</v>
      </c>
      <c r="AG566" s="2" t="s">
        <v>86</v>
      </c>
      <c r="AH566" s="2" t="s">
        <v>86</v>
      </c>
      <c r="AI566" s="2" t="s">
        <v>10469</v>
      </c>
      <c r="AJ566" s="2" t="s">
        <v>10470</v>
      </c>
      <c r="AK566" s="2" t="s">
        <v>89</v>
      </c>
      <c r="AL566" s="4">
        <v>2013</v>
      </c>
      <c r="AM566" s="4">
        <v>37</v>
      </c>
      <c r="AN566" s="4">
        <v>2</v>
      </c>
      <c r="AO566" s="2" t="s">
        <v>86</v>
      </c>
      <c r="AP566" s="2" t="s">
        <v>86</v>
      </c>
      <c r="AQ566" s="2" t="s">
        <v>86</v>
      </c>
      <c r="AR566" s="2" t="s">
        <v>86</v>
      </c>
      <c r="AS566" s="4">
        <v>177</v>
      </c>
      <c r="AT566" s="4">
        <v>184</v>
      </c>
      <c r="AU566" s="2" t="s">
        <v>86</v>
      </c>
      <c r="AV566" s="2" t="s">
        <v>86</v>
      </c>
      <c r="AW566" s="2" t="s">
        <v>86</v>
      </c>
      <c r="AX566" s="4">
        <v>8</v>
      </c>
      <c r="AY566" s="2" t="s">
        <v>8014</v>
      </c>
      <c r="AZ566" s="2" t="s">
        <v>92</v>
      </c>
      <c r="BA566" s="2" t="s">
        <v>8014</v>
      </c>
      <c r="BB566" s="2" t="s">
        <v>10471</v>
      </c>
      <c r="BC566" s="2" t="s">
        <v>86</v>
      </c>
      <c r="BD566" s="2" t="s">
        <v>86</v>
      </c>
      <c r="BE566" s="2" t="s">
        <v>86</v>
      </c>
      <c r="BF566" s="2" t="s">
        <v>86</v>
      </c>
      <c r="BG566" s="2" t="s">
        <v>95</v>
      </c>
      <c r="BH566" s="2" t="s">
        <v>10472</v>
      </c>
      <c r="BI566" s="2" t="str">
        <f>HYPERLINK("https%3A%2F%2Fwww.webofscience.com%2Fwos%2Fwoscc%2Ffull-record%2FWOS:000317017500007","View Full Record in Web of Science")</f>
        <v>View Full Record in Web of Science</v>
      </c>
    </row>
    <row r="567" spans="1:61" customFormat="1" ht="12.75" x14ac:dyDescent="0.2">
      <c r="A567" s="1">
        <v>564</v>
      </c>
      <c r="B567" s="1" t="s">
        <v>1068</v>
      </c>
      <c r="C567" s="1" t="s">
        <v>10473</v>
      </c>
      <c r="D567" s="2" t="s">
        <v>10474</v>
      </c>
      <c r="E567" s="2" t="s">
        <v>10475</v>
      </c>
      <c r="F567" s="3" t="str">
        <f>HYPERLINK("http://dx.doi.org/10.1016/j.wasman.2008.12.018","http://dx.doi.org/10.1016/j.wasman.2008.12.018")</f>
        <v>http://dx.doi.org/10.1016/j.wasman.2008.12.018</v>
      </c>
      <c r="G567" s="2" t="s">
        <v>200</v>
      </c>
      <c r="H567" s="2" t="s">
        <v>10476</v>
      </c>
      <c r="I567" s="2" t="s">
        <v>10477</v>
      </c>
      <c r="J567" s="2" t="s">
        <v>3219</v>
      </c>
      <c r="K567" s="2" t="s">
        <v>68</v>
      </c>
      <c r="L567" s="2" t="s">
        <v>86</v>
      </c>
      <c r="M567" s="2" t="s">
        <v>10478</v>
      </c>
      <c r="N567" s="2" t="s">
        <v>10479</v>
      </c>
      <c r="O567" s="2" t="s">
        <v>3149</v>
      </c>
      <c r="P567" s="2" t="s">
        <v>10480</v>
      </c>
      <c r="Q567" s="2" t="s">
        <v>3151</v>
      </c>
      <c r="R567" s="2" t="s">
        <v>10481</v>
      </c>
      <c r="S567" s="2" t="s">
        <v>10482</v>
      </c>
      <c r="T567" s="2" t="s">
        <v>86</v>
      </c>
      <c r="U567" s="2" t="s">
        <v>86</v>
      </c>
      <c r="V567" s="2" t="s">
        <v>86</v>
      </c>
      <c r="W567" s="2" t="s">
        <v>80</v>
      </c>
      <c r="X567" s="4">
        <v>15</v>
      </c>
      <c r="Y567" s="4">
        <v>92</v>
      </c>
      <c r="Z567" s="4">
        <v>94</v>
      </c>
      <c r="AA567" s="4">
        <v>0</v>
      </c>
      <c r="AB567" s="4">
        <v>41</v>
      </c>
      <c r="AC567" s="2" t="s">
        <v>237</v>
      </c>
      <c r="AD567" s="2" t="s">
        <v>115</v>
      </c>
      <c r="AE567" s="2" t="s">
        <v>238</v>
      </c>
      <c r="AF567" s="2" t="s">
        <v>3226</v>
      </c>
      <c r="AG567" s="2" t="s">
        <v>86</v>
      </c>
      <c r="AH567" s="2" t="s">
        <v>86</v>
      </c>
      <c r="AI567" s="2" t="s">
        <v>3228</v>
      </c>
      <c r="AJ567" s="2" t="s">
        <v>3229</v>
      </c>
      <c r="AK567" s="2" t="s">
        <v>342</v>
      </c>
      <c r="AL567" s="4">
        <v>2009</v>
      </c>
      <c r="AM567" s="4">
        <v>29</v>
      </c>
      <c r="AN567" s="4">
        <v>6</v>
      </c>
      <c r="AO567" s="2" t="s">
        <v>86</v>
      </c>
      <c r="AP567" s="2" t="s">
        <v>86</v>
      </c>
      <c r="AQ567" s="2" t="s">
        <v>86</v>
      </c>
      <c r="AR567" s="2" t="s">
        <v>86</v>
      </c>
      <c r="AS567" s="4">
        <v>1807</v>
      </c>
      <c r="AT567" s="4">
        <v>1813</v>
      </c>
      <c r="AU567" s="2" t="s">
        <v>86</v>
      </c>
      <c r="AV567" s="2" t="s">
        <v>86</v>
      </c>
      <c r="AW567" s="2" t="s">
        <v>86</v>
      </c>
      <c r="AX567" s="4">
        <v>7</v>
      </c>
      <c r="AY567" s="2" t="s">
        <v>567</v>
      </c>
      <c r="AZ567" s="2" t="s">
        <v>92</v>
      </c>
      <c r="BA567" s="2" t="s">
        <v>568</v>
      </c>
      <c r="BB567" s="2" t="s">
        <v>10483</v>
      </c>
      <c r="BC567" s="4">
        <v>19155169</v>
      </c>
      <c r="BD567" s="2" t="s">
        <v>86</v>
      </c>
      <c r="BE567" s="2" t="s">
        <v>86</v>
      </c>
      <c r="BF567" s="2" t="s">
        <v>86</v>
      </c>
      <c r="BG567" s="2" t="s">
        <v>95</v>
      </c>
      <c r="BH567" s="2" t="s">
        <v>10484</v>
      </c>
      <c r="BI567" s="2" t="str">
        <f>HYPERLINK("https%3A%2F%2Fwww.webofscience.com%2Fwos%2Fwoscc%2Ffull-record%2FWOS:000265562200004","View Full Record in Web of Science")</f>
        <v>View Full Record in Web of Science</v>
      </c>
    </row>
    <row r="568" spans="1:61" customFormat="1" ht="12.75" x14ac:dyDescent="0.2">
      <c r="A568" s="1">
        <v>567</v>
      </c>
      <c r="B568" s="1" t="s">
        <v>1068</v>
      </c>
      <c r="C568" s="1" t="s">
        <v>10485</v>
      </c>
      <c r="D568" s="2" t="s">
        <v>10486</v>
      </c>
      <c r="E568" s="2" t="s">
        <v>10487</v>
      </c>
      <c r="F568" s="5" t="s">
        <v>10488</v>
      </c>
      <c r="G568" s="2" t="s">
        <v>200</v>
      </c>
      <c r="H568" s="2" t="s">
        <v>10489</v>
      </c>
      <c r="I568" s="2" t="s">
        <v>10490</v>
      </c>
      <c r="J568" s="2" t="s">
        <v>10491</v>
      </c>
      <c r="K568" s="2" t="s">
        <v>68</v>
      </c>
      <c r="L568" s="2" t="s">
        <v>10492</v>
      </c>
      <c r="M568" s="2" t="s">
        <v>10493</v>
      </c>
      <c r="N568" s="2" t="s">
        <v>10494</v>
      </c>
      <c r="O568" s="2" t="s">
        <v>10495</v>
      </c>
      <c r="P568" s="2" t="s">
        <v>10496</v>
      </c>
      <c r="Q568" s="2" t="s">
        <v>10497</v>
      </c>
      <c r="R568" s="2" t="s">
        <v>10498</v>
      </c>
      <c r="S568" s="2" t="s">
        <v>10499</v>
      </c>
      <c r="T568" s="2" t="s">
        <v>10500</v>
      </c>
      <c r="U568" s="2" t="s">
        <v>10501</v>
      </c>
      <c r="V568" s="2" t="s">
        <v>10502</v>
      </c>
      <c r="W568" s="2" t="s">
        <v>80</v>
      </c>
      <c r="X568" s="4">
        <v>53</v>
      </c>
      <c r="Y568" s="4">
        <v>0</v>
      </c>
      <c r="Z568" s="4">
        <v>0</v>
      </c>
      <c r="AA568" s="4">
        <v>6</v>
      </c>
      <c r="AB568" s="4">
        <v>6</v>
      </c>
      <c r="AC568" s="2" t="s">
        <v>6635</v>
      </c>
      <c r="AD568" s="2" t="s">
        <v>6636</v>
      </c>
      <c r="AE568" s="2" t="s">
        <v>6637</v>
      </c>
      <c r="AF568" s="2" t="s">
        <v>10503</v>
      </c>
      <c r="AG568" s="2" t="s">
        <v>10504</v>
      </c>
      <c r="AH568" s="2"/>
      <c r="AI568" s="2" t="s">
        <v>10505</v>
      </c>
      <c r="AJ568" s="2" t="s">
        <v>10506</v>
      </c>
      <c r="AK568" s="2"/>
      <c r="AL568" s="4">
        <v>2023</v>
      </c>
      <c r="AM568" s="4">
        <v>16</v>
      </c>
      <c r="AN568" s="2"/>
      <c r="AO568" s="2"/>
      <c r="AP568" s="2"/>
      <c r="AQ568" s="2"/>
      <c r="AR568" s="2"/>
      <c r="AS568" s="4">
        <v>6601</v>
      </c>
      <c r="AT568" s="4">
        <v>6613</v>
      </c>
      <c r="AU568" s="2"/>
      <c r="AV568" s="2"/>
      <c r="AW568" s="2"/>
      <c r="AX568" s="4">
        <v>13</v>
      </c>
      <c r="AY568" s="2" t="s">
        <v>10507</v>
      </c>
      <c r="AZ568" s="2" t="s">
        <v>92</v>
      </c>
      <c r="BA568" s="2" t="s">
        <v>10508</v>
      </c>
      <c r="BB568" s="2" t="s">
        <v>10509</v>
      </c>
      <c r="BC568" s="2"/>
      <c r="BD568" s="2" t="s">
        <v>321</v>
      </c>
      <c r="BE568" s="2"/>
      <c r="BF568" s="2"/>
      <c r="BG568" s="6">
        <v>45166</v>
      </c>
      <c r="BH568" s="2" t="s">
        <v>10510</v>
      </c>
      <c r="BI568" s="2" t="s">
        <v>10511</v>
      </c>
    </row>
    <row r="569" spans="1:61" customFormat="1" ht="12.75" x14ac:dyDescent="0.2">
      <c r="A569" s="1">
        <v>568</v>
      </c>
      <c r="B569" s="1" t="s">
        <v>1068</v>
      </c>
      <c r="C569" s="1" t="s">
        <v>10512</v>
      </c>
      <c r="D569" s="2" t="s">
        <v>10513</v>
      </c>
      <c r="E569" s="2" t="s">
        <v>10514</v>
      </c>
      <c r="F569" s="5" t="s">
        <v>10515</v>
      </c>
      <c r="G569" s="2" t="s">
        <v>200</v>
      </c>
      <c r="H569" s="2" t="s">
        <v>10516</v>
      </c>
      <c r="I569" s="2" t="s">
        <v>10517</v>
      </c>
      <c r="J569" s="2" t="s">
        <v>424</v>
      </c>
      <c r="K569" s="2" t="s">
        <v>68</v>
      </c>
      <c r="L569" s="2" t="s">
        <v>10518</v>
      </c>
      <c r="M569" s="2" t="s">
        <v>10519</v>
      </c>
      <c r="N569" s="2" t="s">
        <v>10520</v>
      </c>
      <c r="O569" s="2" t="s">
        <v>10521</v>
      </c>
      <c r="P569" s="2" t="s">
        <v>10522</v>
      </c>
      <c r="Q569" s="2" t="s">
        <v>2986</v>
      </c>
      <c r="R569" s="2"/>
      <c r="S569" s="2" t="s">
        <v>10523</v>
      </c>
      <c r="T569" s="2" t="s">
        <v>10524</v>
      </c>
      <c r="U569" s="2" t="s">
        <v>10525</v>
      </c>
      <c r="V569" s="2" t="s">
        <v>10526</v>
      </c>
      <c r="W569" s="2" t="s">
        <v>80</v>
      </c>
      <c r="X569" s="4">
        <v>87</v>
      </c>
      <c r="Y569" s="4">
        <v>0</v>
      </c>
      <c r="Z569" s="4">
        <v>0</v>
      </c>
      <c r="AA569" s="4">
        <v>1</v>
      </c>
      <c r="AB569" s="4">
        <v>1</v>
      </c>
      <c r="AC569" s="2" t="s">
        <v>237</v>
      </c>
      <c r="AD569" s="2" t="s">
        <v>115</v>
      </c>
      <c r="AE569" s="2" t="s">
        <v>238</v>
      </c>
      <c r="AF569" s="2" t="s">
        <v>436</v>
      </c>
      <c r="AG569" s="2" t="s">
        <v>437</v>
      </c>
      <c r="AH569" s="2"/>
      <c r="AI569" s="2" t="s">
        <v>438</v>
      </c>
      <c r="AJ569" s="2" t="s">
        <v>439</v>
      </c>
      <c r="AK569" s="2" t="s">
        <v>440</v>
      </c>
      <c r="AL569" s="4">
        <v>2023</v>
      </c>
      <c r="AM569" s="4">
        <v>194</v>
      </c>
      <c r="AN569" s="2"/>
      <c r="AO569" s="2" t="s">
        <v>122</v>
      </c>
      <c r="AP569" s="2"/>
      <c r="AQ569" s="2"/>
      <c r="AR569" s="2"/>
      <c r="AS569" s="2"/>
      <c r="AT569" s="2"/>
      <c r="AU569" s="4">
        <v>115281</v>
      </c>
      <c r="AV569" s="2"/>
      <c r="AW569" s="2"/>
      <c r="AX569" s="4">
        <v>10</v>
      </c>
      <c r="AY569" s="2" t="s">
        <v>441</v>
      </c>
      <c r="AZ569" s="2" t="s">
        <v>92</v>
      </c>
      <c r="BA569" s="2" t="s">
        <v>442</v>
      </c>
      <c r="BB569" s="2" t="s">
        <v>10527</v>
      </c>
      <c r="BC569" s="4">
        <v>37454472</v>
      </c>
      <c r="BD569" s="2"/>
      <c r="BE569" s="2"/>
      <c r="BF569" s="2"/>
      <c r="BG569" s="6">
        <v>45166</v>
      </c>
      <c r="BH569" s="2" t="s">
        <v>10528</v>
      </c>
      <c r="BI569" s="2" t="s">
        <v>10511</v>
      </c>
    </row>
    <row r="570" spans="1:61" customFormat="1" ht="12.75" x14ac:dyDescent="0.2">
      <c r="A570" s="1">
        <v>569</v>
      </c>
      <c r="B570" s="1" t="s">
        <v>1068</v>
      </c>
      <c r="C570" s="1" t="s">
        <v>10529</v>
      </c>
      <c r="D570" s="2" t="s">
        <v>10530</v>
      </c>
      <c r="E570" s="2" t="s">
        <v>10531</v>
      </c>
      <c r="F570" s="5" t="s">
        <v>10532</v>
      </c>
      <c r="G570" s="2" t="s">
        <v>200</v>
      </c>
      <c r="H570" s="2" t="s">
        <v>10533</v>
      </c>
      <c r="I570" s="2" t="s">
        <v>10534</v>
      </c>
      <c r="J570" s="2" t="s">
        <v>10535</v>
      </c>
      <c r="K570" s="2" t="s">
        <v>68</v>
      </c>
      <c r="L570" s="2" t="s">
        <v>10536</v>
      </c>
      <c r="M570" s="2"/>
      <c r="N570" s="2" t="s">
        <v>10537</v>
      </c>
      <c r="O570" s="2" t="s">
        <v>10538</v>
      </c>
      <c r="P570" s="2" t="s">
        <v>10539</v>
      </c>
      <c r="Q570" s="2" t="s">
        <v>10540</v>
      </c>
      <c r="R570" s="2" t="s">
        <v>10541</v>
      </c>
      <c r="S570" s="2" t="s">
        <v>10542</v>
      </c>
      <c r="T570" s="2"/>
      <c r="U570" s="2"/>
      <c r="V570" s="2"/>
      <c r="W570" s="2" t="s">
        <v>80</v>
      </c>
      <c r="X570" s="4">
        <v>45</v>
      </c>
      <c r="Y570" s="4">
        <v>0</v>
      </c>
      <c r="Z570" s="4">
        <v>0</v>
      </c>
      <c r="AA570" s="4">
        <v>1</v>
      </c>
      <c r="AB570" s="4">
        <v>1</v>
      </c>
      <c r="AC570" s="2" t="s">
        <v>237</v>
      </c>
      <c r="AD570" s="2" t="s">
        <v>115</v>
      </c>
      <c r="AE570" s="2" t="s">
        <v>238</v>
      </c>
      <c r="AF570" s="2" t="s">
        <v>10543</v>
      </c>
      <c r="AG570" s="2" t="s">
        <v>10544</v>
      </c>
      <c r="AH570" s="2"/>
      <c r="AI570" s="2" t="s">
        <v>10535</v>
      </c>
      <c r="AJ570" s="2" t="s">
        <v>10545</v>
      </c>
      <c r="AK570" s="2" t="s">
        <v>440</v>
      </c>
      <c r="AL570" s="4">
        <v>2023</v>
      </c>
      <c r="AM570" s="4">
        <v>172</v>
      </c>
      <c r="AN570" s="2"/>
      <c r="AO570" s="2"/>
      <c r="AP570" s="2"/>
      <c r="AQ570" s="2"/>
      <c r="AR570" s="2"/>
      <c r="AS570" s="2"/>
      <c r="AT570" s="2"/>
      <c r="AU570" s="4">
        <v>103506</v>
      </c>
      <c r="AV570" s="2"/>
      <c r="AW570" s="7">
        <v>45108</v>
      </c>
      <c r="AX570" s="4">
        <v>8</v>
      </c>
      <c r="AY570" s="2" t="s">
        <v>10546</v>
      </c>
      <c r="AZ570" s="2" t="s">
        <v>92</v>
      </c>
      <c r="BA570" s="2" t="s">
        <v>10546</v>
      </c>
      <c r="BB570" s="2" t="s">
        <v>10547</v>
      </c>
      <c r="BC570" s="4">
        <v>37406585</v>
      </c>
      <c r="BD570" s="2"/>
      <c r="BE570" s="2"/>
      <c r="BF570" s="2"/>
      <c r="BG570" s="6">
        <v>45166</v>
      </c>
      <c r="BH570" s="2" t="s">
        <v>10548</v>
      </c>
      <c r="BI570" s="2" t="s">
        <v>10511</v>
      </c>
    </row>
    <row r="571" spans="1:61" ht="12.75" x14ac:dyDescent="0.2">
      <c r="A571" s="8">
        <v>570</v>
      </c>
      <c r="B571" s="8" t="s">
        <v>1068</v>
      </c>
      <c r="C571" s="8" t="s">
        <v>10549</v>
      </c>
      <c r="D571" s="9" t="s">
        <v>10550</v>
      </c>
      <c r="E571" s="9" t="s">
        <v>10551</v>
      </c>
      <c r="F571" s="25" t="s">
        <v>10552</v>
      </c>
      <c r="G571" s="9" t="s">
        <v>200</v>
      </c>
      <c r="H571" s="9" t="s">
        <v>10553</v>
      </c>
      <c r="I571" s="9" t="s">
        <v>10554</v>
      </c>
      <c r="J571" s="9" t="s">
        <v>10555</v>
      </c>
      <c r="K571" s="9" t="s">
        <v>68</v>
      </c>
      <c r="L571" s="9" t="s">
        <v>10556</v>
      </c>
      <c r="M571" s="9" t="s">
        <v>10557</v>
      </c>
      <c r="N571" s="9" t="s">
        <v>10558</v>
      </c>
      <c r="O571" s="9" t="s">
        <v>10559</v>
      </c>
      <c r="P571" s="9" t="s">
        <v>10560</v>
      </c>
      <c r="Q571" s="9" t="s">
        <v>283</v>
      </c>
      <c r="R571" s="9" t="s">
        <v>10561</v>
      </c>
      <c r="S571" s="9" t="s">
        <v>10562</v>
      </c>
      <c r="T571" s="9"/>
      <c r="U571" s="9"/>
      <c r="V571" s="9"/>
      <c r="W571" s="9" t="s">
        <v>80</v>
      </c>
      <c r="X571" s="12">
        <v>55</v>
      </c>
      <c r="Y571" s="12">
        <v>0</v>
      </c>
      <c r="Z571" s="12">
        <v>0</v>
      </c>
      <c r="AA571" s="12">
        <v>0</v>
      </c>
      <c r="AB571" s="12">
        <v>0</v>
      </c>
      <c r="AC571" s="9" t="s">
        <v>5529</v>
      </c>
      <c r="AD571" s="9" t="s">
        <v>5530</v>
      </c>
      <c r="AE571" s="9" t="s">
        <v>5531</v>
      </c>
      <c r="AF571" s="9" t="s">
        <v>10563</v>
      </c>
      <c r="AG571" s="9" t="s">
        <v>10564</v>
      </c>
      <c r="AH571" s="9"/>
      <c r="AI571" s="9" t="s">
        <v>10565</v>
      </c>
      <c r="AJ571" s="9" t="s">
        <v>10566</v>
      </c>
      <c r="AK571" s="17">
        <v>45078</v>
      </c>
      <c r="AL571" s="12">
        <v>2023</v>
      </c>
      <c r="AM571" s="12">
        <v>52</v>
      </c>
      <c r="AN571" s="12">
        <v>2</v>
      </c>
      <c r="AO571" s="9"/>
      <c r="AP571" s="9"/>
      <c r="AQ571" s="9"/>
      <c r="AR571" s="9"/>
      <c r="AS571" s="12">
        <v>206</v>
      </c>
      <c r="AT571" s="12">
        <v>220</v>
      </c>
      <c r="AU571" s="9"/>
      <c r="AV571" s="9"/>
      <c r="AW571" s="9"/>
      <c r="AX571" s="12">
        <v>15</v>
      </c>
      <c r="AY571" s="9" t="s">
        <v>2973</v>
      </c>
      <c r="AZ571" s="9" t="s">
        <v>92</v>
      </c>
      <c r="BA571" s="9" t="s">
        <v>2973</v>
      </c>
      <c r="BB571" s="9" t="s">
        <v>10567</v>
      </c>
      <c r="BC571" s="9"/>
      <c r="BD571" s="9" t="s">
        <v>321</v>
      </c>
      <c r="BE571" s="9"/>
      <c r="BF571" s="9"/>
      <c r="BG571" s="15">
        <v>45166</v>
      </c>
      <c r="BH571" s="9" t="s">
        <v>10568</v>
      </c>
      <c r="BI571" s="9" t="s">
        <v>10511</v>
      </c>
    </row>
    <row r="572" spans="1:61" ht="12.75" x14ac:dyDescent="0.2">
      <c r="A572" s="8">
        <v>571</v>
      </c>
      <c r="B572" s="8" t="s">
        <v>1049</v>
      </c>
      <c r="C572" s="8" t="s">
        <v>10569</v>
      </c>
      <c r="D572" s="9" t="s">
        <v>10570</v>
      </c>
      <c r="E572" s="9" t="s">
        <v>10571</v>
      </c>
      <c r="F572" s="13" t="s">
        <v>10572</v>
      </c>
      <c r="G572" s="9" t="s">
        <v>200</v>
      </c>
      <c r="H572" s="9" t="s">
        <v>10573</v>
      </c>
      <c r="I572" s="9" t="s">
        <v>10574</v>
      </c>
      <c r="J572" s="9" t="s">
        <v>424</v>
      </c>
      <c r="K572" s="9" t="s">
        <v>68</v>
      </c>
      <c r="L572" s="9" t="s">
        <v>10575</v>
      </c>
      <c r="M572" s="9" t="s">
        <v>10576</v>
      </c>
      <c r="N572" s="9" t="s">
        <v>10577</v>
      </c>
      <c r="O572" s="9" t="s">
        <v>10578</v>
      </c>
      <c r="P572" s="9" t="s">
        <v>10579</v>
      </c>
      <c r="Q572" s="9" t="s">
        <v>10580</v>
      </c>
      <c r="R572" s="9" t="s">
        <v>10581</v>
      </c>
      <c r="S572" s="9" t="s">
        <v>10582</v>
      </c>
      <c r="T572" s="9"/>
      <c r="U572" s="9"/>
      <c r="V572" s="9"/>
      <c r="W572" s="9" t="s">
        <v>80</v>
      </c>
      <c r="X572" s="12">
        <v>92</v>
      </c>
      <c r="Y572" s="12">
        <v>0</v>
      </c>
      <c r="Z572" s="12">
        <v>0</v>
      </c>
      <c r="AA572" s="12">
        <v>3</v>
      </c>
      <c r="AB572" s="12">
        <v>3</v>
      </c>
      <c r="AC572" s="9" t="s">
        <v>237</v>
      </c>
      <c r="AD572" s="9" t="s">
        <v>115</v>
      </c>
      <c r="AE572" s="9" t="s">
        <v>238</v>
      </c>
      <c r="AF572" s="9" t="s">
        <v>436</v>
      </c>
      <c r="AG572" s="9" t="s">
        <v>437</v>
      </c>
      <c r="AH572" s="9"/>
      <c r="AI572" s="9" t="s">
        <v>438</v>
      </c>
      <c r="AJ572" s="9" t="s">
        <v>439</v>
      </c>
      <c r="AK572" s="9" t="s">
        <v>1220</v>
      </c>
      <c r="AL572" s="12">
        <v>2023</v>
      </c>
      <c r="AM572" s="12">
        <v>190</v>
      </c>
      <c r="AN572" s="9"/>
      <c r="AO572" s="9"/>
      <c r="AP572" s="9"/>
      <c r="AQ572" s="9"/>
      <c r="AR572" s="9"/>
      <c r="AS572" s="9"/>
      <c r="AT572" s="9"/>
      <c r="AU572" s="12">
        <v>114895</v>
      </c>
      <c r="AV572" s="9"/>
      <c r="AW572" s="14">
        <v>45017</v>
      </c>
      <c r="AX572" s="12">
        <v>14</v>
      </c>
      <c r="AY572" s="9" t="s">
        <v>441</v>
      </c>
      <c r="AZ572" s="9" t="s">
        <v>92</v>
      </c>
      <c r="BA572" s="9" t="s">
        <v>442</v>
      </c>
      <c r="BB572" s="9" t="s">
        <v>10583</v>
      </c>
      <c r="BC572" s="12">
        <v>37011539</v>
      </c>
      <c r="BD572" s="9"/>
      <c r="BE572" s="9"/>
      <c r="BF572" s="9"/>
      <c r="BG572" s="15">
        <v>45166</v>
      </c>
      <c r="BH572" s="9" t="s">
        <v>10584</v>
      </c>
      <c r="BI572" s="9" t="s">
        <v>10511</v>
      </c>
    </row>
    <row r="573" spans="1:61" ht="12.75" x14ac:dyDescent="0.2">
      <c r="A573" s="8">
        <v>572</v>
      </c>
      <c r="B573" s="8" t="s">
        <v>1068</v>
      </c>
      <c r="C573" s="8" t="s">
        <v>4056</v>
      </c>
      <c r="D573" s="9" t="s">
        <v>4057</v>
      </c>
      <c r="E573" s="9" t="s">
        <v>4058</v>
      </c>
      <c r="F573" s="13" t="s">
        <v>10585</v>
      </c>
      <c r="G573" s="9" t="s">
        <v>200</v>
      </c>
      <c r="H573" s="9" t="s">
        <v>4059</v>
      </c>
      <c r="I573" s="9" t="s">
        <v>4060</v>
      </c>
      <c r="J573" s="9" t="s">
        <v>522</v>
      </c>
      <c r="K573" s="9" t="s">
        <v>68</v>
      </c>
      <c r="L573" s="9" t="s">
        <v>4061</v>
      </c>
      <c r="M573" s="9" t="s">
        <v>4062</v>
      </c>
      <c r="N573" s="9" t="s">
        <v>4063</v>
      </c>
      <c r="O573" s="9" t="s">
        <v>4064</v>
      </c>
      <c r="P573" s="9" t="s">
        <v>4065</v>
      </c>
      <c r="Q573" s="9" t="s">
        <v>4066</v>
      </c>
      <c r="R573" s="9" t="s">
        <v>10586</v>
      </c>
      <c r="S573" s="9" t="s">
        <v>10587</v>
      </c>
      <c r="T573" s="9"/>
      <c r="U573" s="9"/>
      <c r="V573" s="9"/>
      <c r="W573" s="9" t="s">
        <v>80</v>
      </c>
      <c r="X573" s="12">
        <v>60</v>
      </c>
      <c r="Y573" s="12">
        <v>0</v>
      </c>
      <c r="Z573" s="12">
        <v>0</v>
      </c>
      <c r="AA573" s="12">
        <v>3</v>
      </c>
      <c r="AB573" s="12">
        <v>3</v>
      </c>
      <c r="AC573" s="9" t="s">
        <v>211</v>
      </c>
      <c r="AD573" s="9" t="s">
        <v>212</v>
      </c>
      <c r="AE573" s="9" t="s">
        <v>213</v>
      </c>
      <c r="AF573" s="9"/>
      <c r="AG573" s="9" t="s">
        <v>531</v>
      </c>
      <c r="AH573" s="9"/>
      <c r="AI573" s="9" t="s">
        <v>532</v>
      </c>
      <c r="AJ573" s="9" t="s">
        <v>533</v>
      </c>
      <c r="AK573" s="9" t="s">
        <v>89</v>
      </c>
      <c r="AL573" s="12">
        <v>2023</v>
      </c>
      <c r="AM573" s="12">
        <v>15</v>
      </c>
      <c r="AN573" s="12">
        <v>8</v>
      </c>
      <c r="AO573" s="9"/>
      <c r="AP573" s="9"/>
      <c r="AQ573" s="9"/>
      <c r="AR573" s="9"/>
      <c r="AS573" s="9"/>
      <c r="AT573" s="9"/>
      <c r="AU573" s="12">
        <v>6811</v>
      </c>
      <c r="AV573" s="9"/>
      <c r="AW573" s="9"/>
      <c r="AX573" s="12">
        <v>21</v>
      </c>
      <c r="AY573" s="9" t="s">
        <v>535</v>
      </c>
      <c r="AZ573" s="9" t="s">
        <v>536</v>
      </c>
      <c r="BA573" s="9" t="s">
        <v>537</v>
      </c>
      <c r="BB573" s="9" t="s">
        <v>4069</v>
      </c>
      <c r="BC573" s="9"/>
      <c r="BD573" s="9" t="s">
        <v>321</v>
      </c>
      <c r="BE573" s="9"/>
      <c r="BF573" s="9"/>
      <c r="BG573" s="15">
        <v>45166</v>
      </c>
      <c r="BH573" s="9" t="s">
        <v>4070</v>
      </c>
      <c r="BI573" s="9" t="s">
        <v>10511</v>
      </c>
    </row>
    <row r="574" spans="1:61" ht="12.75" x14ac:dyDescent="0.2">
      <c r="A574" s="8">
        <v>573</v>
      </c>
      <c r="B574" s="8" t="s">
        <v>1068</v>
      </c>
      <c r="C574" s="8" t="s">
        <v>10588</v>
      </c>
      <c r="D574" s="9" t="s">
        <v>10589</v>
      </c>
      <c r="E574" s="9" t="s">
        <v>10590</v>
      </c>
      <c r="F574" s="13" t="s">
        <v>10591</v>
      </c>
      <c r="G574" s="9" t="s">
        <v>200</v>
      </c>
      <c r="H574" s="9" t="s">
        <v>10592</v>
      </c>
      <c r="I574" s="9" t="s">
        <v>10593</v>
      </c>
      <c r="J574" s="9" t="s">
        <v>576</v>
      </c>
      <c r="K574" s="9" t="s">
        <v>68</v>
      </c>
      <c r="L574" s="9" t="s">
        <v>10594</v>
      </c>
      <c r="M574" s="9" t="s">
        <v>10595</v>
      </c>
      <c r="N574" s="9" t="s">
        <v>10596</v>
      </c>
      <c r="O574" s="9" t="s">
        <v>10597</v>
      </c>
      <c r="P574" s="9" t="s">
        <v>10598</v>
      </c>
      <c r="Q574" s="9" t="s">
        <v>6598</v>
      </c>
      <c r="R574" s="9"/>
      <c r="S574" s="9"/>
      <c r="T574" s="9"/>
      <c r="U574" s="9"/>
      <c r="V574" s="9"/>
      <c r="W574" s="9" t="s">
        <v>80</v>
      </c>
      <c r="X574" s="12">
        <v>71</v>
      </c>
      <c r="Y574" s="12">
        <v>0</v>
      </c>
      <c r="Z574" s="12">
        <v>0</v>
      </c>
      <c r="AA574" s="12">
        <v>8</v>
      </c>
      <c r="AB574" s="12">
        <v>8</v>
      </c>
      <c r="AC574" s="9" t="s">
        <v>585</v>
      </c>
      <c r="AD574" s="9" t="s">
        <v>586</v>
      </c>
      <c r="AE574" s="9" t="s">
        <v>587</v>
      </c>
      <c r="AF574" s="9" t="s">
        <v>588</v>
      </c>
      <c r="AG574" s="9" t="s">
        <v>589</v>
      </c>
      <c r="AH574" s="9"/>
      <c r="AI574" s="9" t="s">
        <v>590</v>
      </c>
      <c r="AJ574" s="9" t="s">
        <v>591</v>
      </c>
      <c r="AK574" s="9" t="s">
        <v>1458</v>
      </c>
      <c r="AL574" s="12">
        <v>2023</v>
      </c>
      <c r="AM574" s="12">
        <v>881</v>
      </c>
      <c r="AN574" s="9"/>
      <c r="AO574" s="9"/>
      <c r="AP574" s="9"/>
      <c r="AQ574" s="9"/>
      <c r="AR574" s="9"/>
      <c r="AS574" s="9"/>
      <c r="AT574" s="9"/>
      <c r="AU574" s="12">
        <v>163508</v>
      </c>
      <c r="AV574" s="9"/>
      <c r="AW574" s="14">
        <v>45017</v>
      </c>
      <c r="AX574" s="12">
        <v>11</v>
      </c>
      <c r="AY574" s="9" t="s">
        <v>91</v>
      </c>
      <c r="AZ574" s="9" t="s">
        <v>92</v>
      </c>
      <c r="BA574" s="9" t="s">
        <v>93</v>
      </c>
      <c r="BB574" s="9" t="s">
        <v>10599</v>
      </c>
      <c r="BC574" s="12">
        <v>37059133</v>
      </c>
      <c r="BD574" s="9"/>
      <c r="BE574" s="9"/>
      <c r="BF574" s="9"/>
      <c r="BG574" s="15">
        <v>45166</v>
      </c>
      <c r="BH574" s="9" t="s">
        <v>10600</v>
      </c>
      <c r="BI574" s="9" t="s">
        <v>10511</v>
      </c>
    </row>
    <row r="575" spans="1:61" ht="12.75" x14ac:dyDescent="0.2">
      <c r="A575" s="8">
        <v>574</v>
      </c>
      <c r="B575" s="8" t="s">
        <v>1068</v>
      </c>
      <c r="C575" s="8" t="s">
        <v>10601</v>
      </c>
      <c r="D575" s="9" t="s">
        <v>10602</v>
      </c>
      <c r="E575" s="9" t="s">
        <v>10603</v>
      </c>
      <c r="F575" s="25" t="s">
        <v>10604</v>
      </c>
      <c r="G575" s="9" t="s">
        <v>200</v>
      </c>
      <c r="H575" s="9" t="s">
        <v>10605</v>
      </c>
      <c r="I575" s="9" t="s">
        <v>10606</v>
      </c>
      <c r="J575" s="9" t="s">
        <v>576</v>
      </c>
      <c r="K575" s="9" t="s">
        <v>68</v>
      </c>
      <c r="L575" s="9" t="s">
        <v>10607</v>
      </c>
      <c r="M575" s="9" t="s">
        <v>10608</v>
      </c>
      <c r="N575" s="9" t="s">
        <v>10609</v>
      </c>
      <c r="O575" s="9" t="s">
        <v>10610</v>
      </c>
      <c r="P575" s="9" t="s">
        <v>10611</v>
      </c>
      <c r="Q575" s="9" t="s">
        <v>3494</v>
      </c>
      <c r="R575" s="9" t="s">
        <v>10612</v>
      </c>
      <c r="S575" s="9" t="s">
        <v>10613</v>
      </c>
      <c r="T575" s="9" t="s">
        <v>3497</v>
      </c>
      <c r="U575" s="9" t="s">
        <v>3497</v>
      </c>
      <c r="V575" s="9" t="s">
        <v>10614</v>
      </c>
      <c r="W575" s="9" t="s">
        <v>80</v>
      </c>
      <c r="X575" s="12">
        <v>50</v>
      </c>
      <c r="Y575" s="12">
        <v>0</v>
      </c>
      <c r="Z575" s="12">
        <v>0</v>
      </c>
      <c r="AA575" s="12">
        <v>7</v>
      </c>
      <c r="AB575" s="12">
        <v>7</v>
      </c>
      <c r="AC575" s="9" t="s">
        <v>585</v>
      </c>
      <c r="AD575" s="9" t="s">
        <v>586</v>
      </c>
      <c r="AE575" s="9" t="s">
        <v>587</v>
      </c>
      <c r="AF575" s="9" t="s">
        <v>588</v>
      </c>
      <c r="AG575" s="9" t="s">
        <v>589</v>
      </c>
      <c r="AH575" s="9"/>
      <c r="AI575" s="9" t="s">
        <v>590</v>
      </c>
      <c r="AJ575" s="9" t="s">
        <v>591</v>
      </c>
      <c r="AK575" s="17">
        <v>45189</v>
      </c>
      <c r="AL575" s="12">
        <v>2023</v>
      </c>
      <c r="AM575" s="12">
        <v>892</v>
      </c>
      <c r="AN575" s="9"/>
      <c r="AO575" s="9"/>
      <c r="AP575" s="9"/>
      <c r="AQ575" s="9"/>
      <c r="AR575" s="9"/>
      <c r="AS575" s="9"/>
      <c r="AT575" s="9"/>
      <c r="AU575" s="12">
        <v>164682</v>
      </c>
      <c r="AV575" s="9"/>
      <c r="AW575" s="14">
        <v>45078</v>
      </c>
      <c r="AX575" s="12">
        <v>9</v>
      </c>
      <c r="AY575" s="9" t="s">
        <v>91</v>
      </c>
      <c r="AZ575" s="9" t="s">
        <v>92</v>
      </c>
      <c r="BA575" s="9" t="s">
        <v>93</v>
      </c>
      <c r="BB575" s="9" t="s">
        <v>10615</v>
      </c>
      <c r="BC575" s="12">
        <v>37301397</v>
      </c>
      <c r="BD575" s="9"/>
      <c r="BE575" s="9"/>
      <c r="BF575" s="9"/>
      <c r="BG575" s="15">
        <v>45166</v>
      </c>
      <c r="BH575" s="9" t="s">
        <v>10616</v>
      </c>
      <c r="BI575" s="9" t="s">
        <v>10511</v>
      </c>
    </row>
    <row r="576" spans="1:61" ht="12.75" x14ac:dyDescent="0.2">
      <c r="A576" s="8">
        <v>575</v>
      </c>
      <c r="B576" s="8" t="s">
        <v>1068</v>
      </c>
      <c r="C576" s="8" t="s">
        <v>10617</v>
      </c>
      <c r="D576" s="9" t="s">
        <v>10618</v>
      </c>
      <c r="E576" s="9" t="s">
        <v>10619</v>
      </c>
      <c r="F576" s="25" t="s">
        <v>10620</v>
      </c>
      <c r="G576" s="9" t="s">
        <v>200</v>
      </c>
      <c r="H576" s="9" t="s">
        <v>10621</v>
      </c>
      <c r="I576" s="9" t="s">
        <v>10622</v>
      </c>
      <c r="J576" s="9" t="s">
        <v>6626</v>
      </c>
      <c r="K576" s="9" t="s">
        <v>68</v>
      </c>
      <c r="L576" s="9" t="s">
        <v>10623</v>
      </c>
      <c r="M576" s="9" t="s">
        <v>10624</v>
      </c>
      <c r="N576" s="9" t="s">
        <v>10625</v>
      </c>
      <c r="O576" s="9" t="s">
        <v>10626</v>
      </c>
      <c r="P576" s="9" t="s">
        <v>10627</v>
      </c>
      <c r="Q576" s="9" t="s">
        <v>10628</v>
      </c>
      <c r="R576" s="9" t="s">
        <v>10629</v>
      </c>
      <c r="S576" s="9" t="s">
        <v>10630</v>
      </c>
      <c r="T576" s="9" t="s">
        <v>10631</v>
      </c>
      <c r="U576" s="9" t="s">
        <v>10632</v>
      </c>
      <c r="V576" s="9" t="s">
        <v>10633</v>
      </c>
      <c r="W576" s="9" t="s">
        <v>80</v>
      </c>
      <c r="X576" s="12">
        <v>68</v>
      </c>
      <c r="Y576" s="12">
        <v>2</v>
      </c>
      <c r="Z576" s="12">
        <v>2</v>
      </c>
      <c r="AA576" s="12">
        <v>2</v>
      </c>
      <c r="AB576" s="12">
        <v>2</v>
      </c>
      <c r="AC576" s="9" t="s">
        <v>6635</v>
      </c>
      <c r="AD576" s="9" t="s">
        <v>6636</v>
      </c>
      <c r="AE576" s="9" t="s">
        <v>6637</v>
      </c>
      <c r="AF576" s="9" t="s">
        <v>6638</v>
      </c>
      <c r="AG576" s="9" t="s">
        <v>6639</v>
      </c>
      <c r="AH576" s="9"/>
      <c r="AI576" s="9" t="s">
        <v>6640</v>
      </c>
      <c r="AJ576" s="9" t="s">
        <v>6641</v>
      </c>
      <c r="AK576" s="17">
        <v>45017</v>
      </c>
      <c r="AL576" s="12">
        <v>2023</v>
      </c>
      <c r="AM576" s="12">
        <v>23</v>
      </c>
      <c r="AN576" s="12">
        <v>7</v>
      </c>
      <c r="AO576" s="9"/>
      <c r="AP576" s="9"/>
      <c r="AQ576" s="9"/>
      <c r="AR576" s="9"/>
      <c r="AS576" s="12">
        <v>6517</v>
      </c>
      <c r="AT576" s="12">
        <v>6529</v>
      </c>
      <c r="AU576" s="9"/>
      <c r="AV576" s="9"/>
      <c r="AW576" s="9"/>
      <c r="AX576" s="12">
        <v>13</v>
      </c>
      <c r="AY576" s="9" t="s">
        <v>6642</v>
      </c>
      <c r="AZ576" s="9" t="s">
        <v>92</v>
      </c>
      <c r="BA576" s="9" t="s">
        <v>6643</v>
      </c>
      <c r="BB576" s="9" t="s">
        <v>10634</v>
      </c>
      <c r="BC576" s="9"/>
      <c r="BD576" s="9" t="s">
        <v>5971</v>
      </c>
      <c r="BE576" s="9"/>
      <c r="BF576" s="9"/>
      <c r="BG576" s="15">
        <v>45166</v>
      </c>
      <c r="BH576" s="9" t="s">
        <v>10635</v>
      </c>
      <c r="BI576" s="9" t="s">
        <v>10511</v>
      </c>
    </row>
    <row r="577" spans="1:61" ht="12.75" x14ac:dyDescent="0.2">
      <c r="A577" s="8">
        <v>576</v>
      </c>
      <c r="B577" s="8" t="s">
        <v>1068</v>
      </c>
      <c r="C577" s="8" t="s">
        <v>10636</v>
      </c>
      <c r="D577" s="9" t="s">
        <v>10637</v>
      </c>
      <c r="E577" s="9" t="s">
        <v>10638</v>
      </c>
      <c r="F577" s="13" t="s">
        <v>10639</v>
      </c>
      <c r="G577" s="9" t="s">
        <v>200</v>
      </c>
      <c r="H577" s="9" t="s">
        <v>10640</v>
      </c>
      <c r="I577" s="9" t="s">
        <v>10641</v>
      </c>
      <c r="J577" s="9" t="s">
        <v>6025</v>
      </c>
      <c r="K577" s="9" t="s">
        <v>68</v>
      </c>
      <c r="L577" s="9" t="s">
        <v>10642</v>
      </c>
      <c r="M577" s="9" t="s">
        <v>10643</v>
      </c>
      <c r="N577" s="9" t="s">
        <v>10644</v>
      </c>
      <c r="O577" s="9" t="s">
        <v>10645</v>
      </c>
      <c r="P577" s="9" t="s">
        <v>10646</v>
      </c>
      <c r="Q577" s="9" t="s">
        <v>10647</v>
      </c>
      <c r="R577" s="9" t="s">
        <v>10648</v>
      </c>
      <c r="S577" s="9" t="s">
        <v>10649</v>
      </c>
      <c r="T577" s="9"/>
      <c r="U577" s="9"/>
      <c r="V577" s="9"/>
      <c r="W577" s="9" t="s">
        <v>80</v>
      </c>
      <c r="X577" s="12">
        <v>61</v>
      </c>
      <c r="Y577" s="12">
        <v>0</v>
      </c>
      <c r="Z577" s="12">
        <v>0</v>
      </c>
      <c r="AA577" s="12">
        <v>0</v>
      </c>
      <c r="AB577" s="12">
        <v>0</v>
      </c>
      <c r="AC577" s="9" t="s">
        <v>237</v>
      </c>
      <c r="AD577" s="9" t="s">
        <v>115</v>
      </c>
      <c r="AE577" s="9" t="s">
        <v>238</v>
      </c>
      <c r="AF577" s="9" t="s">
        <v>6035</v>
      </c>
      <c r="AG577" s="9" t="s">
        <v>6036</v>
      </c>
      <c r="AH577" s="9"/>
      <c r="AI577" s="9" t="s">
        <v>6037</v>
      </c>
      <c r="AJ577" s="9" t="s">
        <v>6038</v>
      </c>
      <c r="AK577" s="17">
        <v>45170</v>
      </c>
      <c r="AL577" s="12">
        <v>2023</v>
      </c>
      <c r="AM577" s="12">
        <v>291</v>
      </c>
      <c r="AN577" s="9"/>
      <c r="AO577" s="9"/>
      <c r="AP577" s="9"/>
      <c r="AQ577" s="9"/>
      <c r="AR577" s="9"/>
      <c r="AS577" s="9"/>
      <c r="AT577" s="9"/>
      <c r="AU577" s="12">
        <v>117312</v>
      </c>
      <c r="AV577" s="9"/>
      <c r="AW577" s="9"/>
      <c r="AX577" s="12">
        <v>14</v>
      </c>
      <c r="AY577" s="9" t="s">
        <v>6039</v>
      </c>
      <c r="AZ577" s="9" t="s">
        <v>92</v>
      </c>
      <c r="BA577" s="9" t="s">
        <v>6039</v>
      </c>
      <c r="BB577" s="9" t="s">
        <v>10650</v>
      </c>
      <c r="BC577" s="9"/>
      <c r="BD577" s="9"/>
      <c r="BE577" s="9"/>
      <c r="BF577" s="9"/>
      <c r="BG577" s="15">
        <v>45166</v>
      </c>
      <c r="BH577" s="9" t="s">
        <v>10651</v>
      </c>
      <c r="BI577" s="9" t="s">
        <v>10511</v>
      </c>
    </row>
    <row r="578" spans="1:61" ht="12.75" x14ac:dyDescent="0.2">
      <c r="A578" s="8">
        <v>577</v>
      </c>
      <c r="B578" s="8" t="s">
        <v>1049</v>
      </c>
      <c r="C578" s="8" t="s">
        <v>10652</v>
      </c>
      <c r="D578" s="9" t="s">
        <v>10653</v>
      </c>
      <c r="E578" s="9" t="s">
        <v>10654</v>
      </c>
      <c r="F578" s="13" t="s">
        <v>10655</v>
      </c>
      <c r="G578" s="9" t="s">
        <v>200</v>
      </c>
      <c r="H578" s="9" t="s">
        <v>10656</v>
      </c>
      <c r="I578" s="9" t="s">
        <v>10657</v>
      </c>
      <c r="J578" s="9" t="s">
        <v>424</v>
      </c>
      <c r="K578" s="9" t="s">
        <v>68</v>
      </c>
      <c r="L578" s="9" t="s">
        <v>10658</v>
      </c>
      <c r="M578" s="9" t="s">
        <v>10659</v>
      </c>
      <c r="N578" s="9" t="s">
        <v>10660</v>
      </c>
      <c r="O578" s="9" t="s">
        <v>2589</v>
      </c>
      <c r="P578" s="9" t="s">
        <v>10661</v>
      </c>
      <c r="Q578" s="9" t="s">
        <v>10662</v>
      </c>
      <c r="R578" s="9"/>
      <c r="S578" s="9"/>
      <c r="T578" s="9" t="s">
        <v>10663</v>
      </c>
      <c r="U578" s="9" t="s">
        <v>10663</v>
      </c>
      <c r="V578" s="9" t="s">
        <v>10664</v>
      </c>
      <c r="W578" s="9" t="s">
        <v>80</v>
      </c>
      <c r="X578" s="12">
        <v>114</v>
      </c>
      <c r="Y578" s="12">
        <v>0</v>
      </c>
      <c r="Z578" s="12">
        <v>0</v>
      </c>
      <c r="AA578" s="12">
        <v>1</v>
      </c>
      <c r="AB578" s="12">
        <v>1</v>
      </c>
      <c r="AC578" s="9" t="s">
        <v>237</v>
      </c>
      <c r="AD578" s="9" t="s">
        <v>115</v>
      </c>
      <c r="AE578" s="9" t="s">
        <v>238</v>
      </c>
      <c r="AF578" s="9" t="s">
        <v>436</v>
      </c>
      <c r="AG578" s="9" t="s">
        <v>437</v>
      </c>
      <c r="AH578" s="9"/>
      <c r="AI578" s="9" t="s">
        <v>438</v>
      </c>
      <c r="AJ578" s="9" t="s">
        <v>439</v>
      </c>
      <c r="AK578" s="9" t="s">
        <v>440</v>
      </c>
      <c r="AL578" s="12">
        <v>2023</v>
      </c>
      <c r="AM578" s="12">
        <v>194</v>
      </c>
      <c r="AN578" s="9"/>
      <c r="AO578" s="9" t="s">
        <v>188</v>
      </c>
      <c r="AP578" s="9"/>
      <c r="AQ578" s="9"/>
      <c r="AR578" s="9"/>
      <c r="AS578" s="9"/>
      <c r="AT578" s="9"/>
      <c r="AU578" s="12">
        <v>115329</v>
      </c>
      <c r="AV578" s="9"/>
      <c r="AW578" s="9"/>
      <c r="AX578" s="12">
        <v>11</v>
      </c>
      <c r="AY578" s="9" t="s">
        <v>441</v>
      </c>
      <c r="AZ578" s="9" t="s">
        <v>92</v>
      </c>
      <c r="BA578" s="9" t="s">
        <v>442</v>
      </c>
      <c r="BB578" s="9" t="s">
        <v>10665</v>
      </c>
      <c r="BC578" s="12">
        <v>37499467</v>
      </c>
      <c r="BD578" s="9"/>
      <c r="BE578" s="9"/>
      <c r="BF578" s="9"/>
      <c r="BG578" s="15">
        <v>45166</v>
      </c>
      <c r="BH578" s="9" t="s">
        <v>10666</v>
      </c>
      <c r="BI578" s="9" t="s">
        <v>10511</v>
      </c>
    </row>
    <row r="579" spans="1:61" ht="12.75" x14ac:dyDescent="0.2">
      <c r="A579" s="8">
        <v>578</v>
      </c>
      <c r="B579" s="8" t="s">
        <v>1068</v>
      </c>
      <c r="C579" s="8" t="s">
        <v>10667</v>
      </c>
      <c r="D579" s="9" t="s">
        <v>10668</v>
      </c>
      <c r="E579" s="9" t="s">
        <v>10669</v>
      </c>
      <c r="F579" s="13" t="s">
        <v>10670</v>
      </c>
      <c r="G579" s="9" t="s">
        <v>200</v>
      </c>
      <c r="H579" s="9" t="s">
        <v>10671</v>
      </c>
      <c r="I579" s="9" t="s">
        <v>10672</v>
      </c>
      <c r="J579" s="9" t="s">
        <v>10673</v>
      </c>
      <c r="K579" s="9" t="s">
        <v>68</v>
      </c>
      <c r="L579" s="9" t="s">
        <v>10674</v>
      </c>
      <c r="M579" s="9" t="s">
        <v>10675</v>
      </c>
      <c r="N579" s="9" t="s">
        <v>10676</v>
      </c>
      <c r="O579" s="9" t="s">
        <v>10677</v>
      </c>
      <c r="P579" s="9" t="s">
        <v>10678</v>
      </c>
      <c r="Q579" s="9" t="s">
        <v>10679</v>
      </c>
      <c r="R579" s="9"/>
      <c r="S579" s="9" t="s">
        <v>10680</v>
      </c>
      <c r="T579" s="9"/>
      <c r="U579" s="9"/>
      <c r="V579" s="9"/>
      <c r="W579" s="9" t="s">
        <v>80</v>
      </c>
      <c r="X579" s="12">
        <v>90</v>
      </c>
      <c r="Y579" s="12">
        <v>0</v>
      </c>
      <c r="Z579" s="12">
        <v>0</v>
      </c>
      <c r="AA579" s="12">
        <v>6</v>
      </c>
      <c r="AB579" s="12">
        <v>7</v>
      </c>
      <c r="AC579" s="9" t="s">
        <v>585</v>
      </c>
      <c r="AD579" s="9" t="s">
        <v>586</v>
      </c>
      <c r="AE579" s="9" t="s">
        <v>587</v>
      </c>
      <c r="AF579" s="9" t="s">
        <v>10681</v>
      </c>
      <c r="AG579" s="9" t="s">
        <v>10682</v>
      </c>
      <c r="AH579" s="9"/>
      <c r="AI579" s="9" t="s">
        <v>10683</v>
      </c>
      <c r="AJ579" s="9" t="s">
        <v>10684</v>
      </c>
      <c r="AK579" s="9" t="s">
        <v>366</v>
      </c>
      <c r="AL579" s="12">
        <v>2023</v>
      </c>
      <c r="AM579" s="12">
        <v>98</v>
      </c>
      <c r="AN579" s="9"/>
      <c r="AO579" s="9"/>
      <c r="AP579" s="9"/>
      <c r="AQ579" s="9"/>
      <c r="AR579" s="9"/>
      <c r="AS579" s="9"/>
      <c r="AT579" s="9"/>
      <c r="AU579" s="12">
        <v>104059</v>
      </c>
      <c r="AV579" s="9"/>
      <c r="AW579" s="9"/>
      <c r="AX579" s="12">
        <v>13</v>
      </c>
      <c r="AY579" s="9" t="s">
        <v>10685</v>
      </c>
      <c r="AZ579" s="9" t="s">
        <v>92</v>
      </c>
      <c r="BA579" s="9" t="s">
        <v>10686</v>
      </c>
      <c r="BB579" s="9" t="s">
        <v>10687</v>
      </c>
      <c r="BC579" s="12">
        <v>36603608</v>
      </c>
      <c r="BD579" s="9"/>
      <c r="BE579" s="9"/>
      <c r="BF579" s="9"/>
      <c r="BG579" s="15">
        <v>45166</v>
      </c>
      <c r="BH579" s="9" t="s">
        <v>10688</v>
      </c>
      <c r="BI579" s="9" t="s">
        <v>10511</v>
      </c>
    </row>
    <row r="580" spans="1:61" ht="12.75" x14ac:dyDescent="0.2">
      <c r="A580" s="8">
        <v>579</v>
      </c>
      <c r="B580" s="8" t="s">
        <v>1049</v>
      </c>
      <c r="C580" s="8" t="s">
        <v>10689</v>
      </c>
      <c r="D580" s="9" t="s">
        <v>10690</v>
      </c>
      <c r="E580" s="9" t="s">
        <v>10691</v>
      </c>
      <c r="F580" s="16" t="s">
        <v>10692</v>
      </c>
      <c r="G580" s="9" t="s">
        <v>200</v>
      </c>
      <c r="H580" s="9" t="s">
        <v>10693</v>
      </c>
      <c r="I580" s="9" t="s">
        <v>10694</v>
      </c>
      <c r="J580" s="9" t="s">
        <v>1540</v>
      </c>
      <c r="K580" s="9" t="s">
        <v>68</v>
      </c>
      <c r="L580" s="9" t="s">
        <v>10695</v>
      </c>
      <c r="M580" s="9" t="s">
        <v>10696</v>
      </c>
      <c r="N580" s="9" t="s">
        <v>10697</v>
      </c>
      <c r="O580" s="9" t="s">
        <v>687</v>
      </c>
      <c r="P580" s="9" t="s">
        <v>10698</v>
      </c>
      <c r="Q580" s="9" t="s">
        <v>108</v>
      </c>
      <c r="R580" s="9"/>
      <c r="S580" s="9" t="s">
        <v>10699</v>
      </c>
      <c r="T580" s="9" t="s">
        <v>10700</v>
      </c>
      <c r="U580" s="9" t="s">
        <v>10701</v>
      </c>
      <c r="V580" s="9" t="s">
        <v>10702</v>
      </c>
      <c r="W580" s="9" t="s">
        <v>80</v>
      </c>
      <c r="X580" s="12">
        <v>84</v>
      </c>
      <c r="Y580" s="12">
        <v>1</v>
      </c>
      <c r="Z580" s="12">
        <v>1</v>
      </c>
      <c r="AA580" s="12">
        <v>4</v>
      </c>
      <c r="AB580" s="12">
        <v>4</v>
      </c>
      <c r="AC580" s="9" t="s">
        <v>1550</v>
      </c>
      <c r="AD580" s="9" t="s">
        <v>1551</v>
      </c>
      <c r="AE580" s="9" t="s">
        <v>1552</v>
      </c>
      <c r="AF580" s="9" t="s">
        <v>1553</v>
      </c>
      <c r="AG580" s="9" t="s">
        <v>1554</v>
      </c>
      <c r="AH580" s="9"/>
      <c r="AI580" s="9" t="s">
        <v>1555</v>
      </c>
      <c r="AJ580" s="9" t="s">
        <v>1556</v>
      </c>
      <c r="AK580" s="17">
        <v>45200</v>
      </c>
      <c r="AL580" s="12">
        <v>2023</v>
      </c>
      <c r="AM580" s="12">
        <v>234</v>
      </c>
      <c r="AN580" s="9"/>
      <c r="AO580" s="9"/>
      <c r="AP580" s="9"/>
      <c r="AQ580" s="9"/>
      <c r="AR580" s="9"/>
      <c r="AS580" s="9"/>
      <c r="AT580" s="9"/>
      <c r="AU580" s="12">
        <v>116500</v>
      </c>
      <c r="AV580" s="9"/>
      <c r="AW580" s="14">
        <v>45108</v>
      </c>
      <c r="AX580" s="12">
        <v>11</v>
      </c>
      <c r="AY580" s="9" t="s">
        <v>720</v>
      </c>
      <c r="AZ580" s="9" t="s">
        <v>92</v>
      </c>
      <c r="BA580" s="9" t="s">
        <v>721</v>
      </c>
      <c r="BB580" s="9" t="s">
        <v>10703</v>
      </c>
      <c r="BC580" s="12">
        <v>37356530</v>
      </c>
      <c r="BD580" s="9"/>
      <c r="BE580" s="9"/>
      <c r="BF580" s="9"/>
      <c r="BG580" s="15">
        <v>45166</v>
      </c>
      <c r="BH580" s="9" t="s">
        <v>10704</v>
      </c>
      <c r="BI580" s="9" t="s">
        <v>10511</v>
      </c>
    </row>
    <row r="581" spans="1:61" ht="12.75" x14ac:dyDescent="0.2">
      <c r="A581" s="8">
        <v>580</v>
      </c>
      <c r="B581" s="8" t="s">
        <v>1068</v>
      </c>
      <c r="C581" s="8" t="s">
        <v>10705</v>
      </c>
      <c r="D581" s="9" t="s">
        <v>10706</v>
      </c>
      <c r="E581" s="9" t="s">
        <v>10707</v>
      </c>
      <c r="F581" s="25" t="s">
        <v>10708</v>
      </c>
      <c r="G581" s="9" t="s">
        <v>200</v>
      </c>
      <c r="H581" s="9" t="s">
        <v>10709</v>
      </c>
      <c r="I581" s="9" t="s">
        <v>10710</v>
      </c>
      <c r="J581" s="9" t="s">
        <v>10711</v>
      </c>
      <c r="K581" s="9" t="s">
        <v>68</v>
      </c>
      <c r="L581" s="9" t="s">
        <v>10712</v>
      </c>
      <c r="M581" s="9" t="s">
        <v>10713</v>
      </c>
      <c r="N581" s="9" t="s">
        <v>10714</v>
      </c>
      <c r="O581" s="9" t="s">
        <v>10715</v>
      </c>
      <c r="P581" s="9" t="s">
        <v>10716</v>
      </c>
      <c r="Q581" s="9" t="s">
        <v>10717</v>
      </c>
      <c r="R581" s="9" t="s">
        <v>10718</v>
      </c>
      <c r="S581" s="9" t="s">
        <v>10719</v>
      </c>
      <c r="T581" s="9"/>
      <c r="U581" s="9"/>
      <c r="V581" s="9"/>
      <c r="W581" s="9" t="s">
        <v>80</v>
      </c>
      <c r="X581" s="12">
        <v>52</v>
      </c>
      <c r="Y581" s="12">
        <v>0</v>
      </c>
      <c r="Z581" s="12">
        <v>0</v>
      </c>
      <c r="AA581" s="12">
        <v>0</v>
      </c>
      <c r="AB581" s="12">
        <v>0</v>
      </c>
      <c r="AC581" s="9" t="s">
        <v>10720</v>
      </c>
      <c r="AD581" s="9" t="s">
        <v>605</v>
      </c>
      <c r="AE581" s="9" t="s">
        <v>10721</v>
      </c>
      <c r="AF581" s="9" t="s">
        <v>10722</v>
      </c>
      <c r="AG581" s="9"/>
      <c r="AH581" s="9"/>
      <c r="AI581" s="9" t="s">
        <v>10723</v>
      </c>
      <c r="AJ581" s="9" t="s">
        <v>10724</v>
      </c>
      <c r="AK581" s="17">
        <v>45147</v>
      </c>
      <c r="AL581" s="12">
        <v>2023</v>
      </c>
      <c r="AM581" s="12">
        <v>10</v>
      </c>
      <c r="AN581" s="12">
        <v>8</v>
      </c>
      <c r="AO581" s="9"/>
      <c r="AP581" s="9"/>
      <c r="AQ581" s="9"/>
      <c r="AR581" s="9"/>
      <c r="AS581" s="9"/>
      <c r="AT581" s="9"/>
      <c r="AU581" s="12">
        <v>230586</v>
      </c>
      <c r="AV581" s="9"/>
      <c r="AW581" s="9"/>
      <c r="AX581" s="12">
        <v>14</v>
      </c>
      <c r="AY581" s="9" t="s">
        <v>3080</v>
      </c>
      <c r="AZ581" s="9" t="s">
        <v>92</v>
      </c>
      <c r="BA581" s="9" t="s">
        <v>3081</v>
      </c>
      <c r="BB581" s="9" t="s">
        <v>10725</v>
      </c>
      <c r="BC581" s="12">
        <v>37564069</v>
      </c>
      <c r="BD581" s="9"/>
      <c r="BE581" s="9"/>
      <c r="BF581" s="9"/>
      <c r="BG581" s="15">
        <v>45166</v>
      </c>
      <c r="BH581" s="9" t="s">
        <v>10726</v>
      </c>
      <c r="BI581" s="9" t="s">
        <v>10511</v>
      </c>
    </row>
    <row r="582" spans="1:61" ht="12.75" x14ac:dyDescent="0.2">
      <c r="A582" s="8">
        <v>581</v>
      </c>
      <c r="B582" s="8" t="s">
        <v>1068</v>
      </c>
      <c r="C582" s="8" t="s">
        <v>10727</v>
      </c>
      <c r="D582" s="9" t="s">
        <v>10728</v>
      </c>
      <c r="E582" s="9" t="s">
        <v>10729</v>
      </c>
      <c r="F582" s="13" t="s">
        <v>10730</v>
      </c>
      <c r="G582" s="9" t="s">
        <v>200</v>
      </c>
      <c r="H582" s="9" t="s">
        <v>10731</v>
      </c>
      <c r="I582" s="9" t="s">
        <v>10732</v>
      </c>
      <c r="J582" s="9" t="s">
        <v>10733</v>
      </c>
      <c r="K582" s="9" t="s">
        <v>68</v>
      </c>
      <c r="L582" s="9"/>
      <c r="M582" s="9" t="s">
        <v>10734</v>
      </c>
      <c r="N582" s="9" t="s">
        <v>10735</v>
      </c>
      <c r="O582" s="9" t="s">
        <v>10736</v>
      </c>
      <c r="P582" s="9" t="s">
        <v>10737</v>
      </c>
      <c r="Q582" s="9" t="s">
        <v>10738</v>
      </c>
      <c r="R582" s="9" t="s">
        <v>10739</v>
      </c>
      <c r="S582" s="9" t="s">
        <v>10740</v>
      </c>
      <c r="T582" s="9" t="s">
        <v>10741</v>
      </c>
      <c r="U582" s="9" t="s">
        <v>10742</v>
      </c>
      <c r="V582" s="9" t="s">
        <v>10743</v>
      </c>
      <c r="W582" s="9" t="s">
        <v>80</v>
      </c>
      <c r="X582" s="12">
        <v>76</v>
      </c>
      <c r="Y582" s="12">
        <v>2</v>
      </c>
      <c r="Z582" s="12">
        <v>2</v>
      </c>
      <c r="AA582" s="12">
        <v>34</v>
      </c>
      <c r="AB582" s="12">
        <v>34</v>
      </c>
      <c r="AC582" s="9" t="s">
        <v>10744</v>
      </c>
      <c r="AD582" s="9" t="s">
        <v>5530</v>
      </c>
      <c r="AE582" s="9" t="s">
        <v>5966</v>
      </c>
      <c r="AF582" s="9" t="s">
        <v>10745</v>
      </c>
      <c r="AG582" s="9" t="s">
        <v>10746</v>
      </c>
      <c r="AH582" s="9"/>
      <c r="AI582" s="9" t="s">
        <v>10733</v>
      </c>
      <c r="AJ582" s="9" t="s">
        <v>10747</v>
      </c>
      <c r="AK582" s="17">
        <v>45120</v>
      </c>
      <c r="AL582" s="12">
        <v>2023</v>
      </c>
      <c r="AM582" s="12">
        <v>619</v>
      </c>
      <c r="AN582" s="12">
        <v>7969</v>
      </c>
      <c r="AO582" s="9"/>
      <c r="AP582" s="9"/>
      <c r="AQ582" s="9"/>
      <c r="AR582" s="9"/>
      <c r="AS582" s="12">
        <v>317</v>
      </c>
      <c r="AT582" s="9" t="s">
        <v>10839</v>
      </c>
      <c r="AU582" s="9"/>
      <c r="AV582" s="9"/>
      <c r="AW582" s="9"/>
      <c r="AX582" s="12">
        <v>16</v>
      </c>
      <c r="AY582" s="9" t="s">
        <v>3080</v>
      </c>
      <c r="AZ582" s="9" t="s">
        <v>92</v>
      </c>
      <c r="BA582" s="9" t="s">
        <v>3081</v>
      </c>
      <c r="BB582" s="9" t="s">
        <v>10748</v>
      </c>
      <c r="BC582" s="12">
        <v>37438590</v>
      </c>
      <c r="BD582" s="9"/>
      <c r="BE582" s="9"/>
      <c r="BF582" s="9"/>
      <c r="BG582" s="15">
        <v>45166</v>
      </c>
      <c r="BH582" s="9" t="s">
        <v>10749</v>
      </c>
      <c r="BI582" s="9" t="s">
        <v>10511</v>
      </c>
    </row>
    <row r="583" spans="1:61" ht="12.75" x14ac:dyDescent="0.2">
      <c r="A583" s="8">
        <v>582</v>
      </c>
      <c r="B583" s="8" t="s">
        <v>1068</v>
      </c>
      <c r="C583" s="8" t="s">
        <v>10750</v>
      </c>
      <c r="D583" s="9" t="s">
        <v>10751</v>
      </c>
      <c r="E583" s="9" t="s">
        <v>10752</v>
      </c>
      <c r="F583" s="25" t="s">
        <v>10753</v>
      </c>
      <c r="G583" s="9" t="s">
        <v>200</v>
      </c>
      <c r="H583" s="9" t="s">
        <v>10754</v>
      </c>
      <c r="I583" s="9" t="s">
        <v>10755</v>
      </c>
      <c r="J583" s="9" t="s">
        <v>2564</v>
      </c>
      <c r="K583" s="9" t="s">
        <v>68</v>
      </c>
      <c r="L583" s="9" t="s">
        <v>10756</v>
      </c>
      <c r="M583" s="9" t="s">
        <v>10757</v>
      </c>
      <c r="N583" s="9" t="s">
        <v>10758</v>
      </c>
      <c r="O583" s="9" t="s">
        <v>10759</v>
      </c>
      <c r="P583" s="9" t="s">
        <v>10760</v>
      </c>
      <c r="Q583" s="9" t="s">
        <v>10761</v>
      </c>
      <c r="R583" s="9"/>
      <c r="S583" s="9"/>
      <c r="T583" s="9" t="s">
        <v>10762</v>
      </c>
      <c r="U583" s="9" t="s">
        <v>10763</v>
      </c>
      <c r="V583" s="9" t="s">
        <v>10764</v>
      </c>
      <c r="W583" s="9" t="s">
        <v>80</v>
      </c>
      <c r="X583" s="12">
        <v>33</v>
      </c>
      <c r="Y583" s="12">
        <v>0</v>
      </c>
      <c r="Z583" s="12">
        <v>0</v>
      </c>
      <c r="AA583" s="12">
        <v>4</v>
      </c>
      <c r="AB583" s="12">
        <v>4</v>
      </c>
      <c r="AC583" s="9" t="s">
        <v>585</v>
      </c>
      <c r="AD583" s="9" t="s">
        <v>586</v>
      </c>
      <c r="AE583" s="9" t="s">
        <v>587</v>
      </c>
      <c r="AF583" s="9" t="s">
        <v>2574</v>
      </c>
      <c r="AG583" s="9"/>
      <c r="AH583" s="9"/>
      <c r="AI583" s="9" t="s">
        <v>2575</v>
      </c>
      <c r="AJ583" s="9" t="s">
        <v>2576</v>
      </c>
      <c r="AK583" s="9" t="s">
        <v>636</v>
      </c>
      <c r="AL583" s="12">
        <v>2023</v>
      </c>
      <c r="AM583" s="12">
        <v>54</v>
      </c>
      <c r="AN583" s="9"/>
      <c r="AO583" s="9"/>
      <c r="AP583" s="9"/>
      <c r="AQ583" s="9"/>
      <c r="AR583" s="9"/>
      <c r="AS583" s="9"/>
      <c r="AT583" s="9"/>
      <c r="AU583" s="12">
        <v>104010</v>
      </c>
      <c r="AV583" s="9"/>
      <c r="AW583" s="14">
        <v>45108</v>
      </c>
      <c r="AX583" s="12">
        <v>7</v>
      </c>
      <c r="AY583" s="9" t="s">
        <v>2577</v>
      </c>
      <c r="AZ583" s="9" t="s">
        <v>92</v>
      </c>
      <c r="BA583" s="9" t="s">
        <v>2578</v>
      </c>
      <c r="BB583" s="9" t="s">
        <v>10765</v>
      </c>
      <c r="BC583" s="9"/>
      <c r="BD583" s="9"/>
      <c r="BE583" s="9"/>
      <c r="BF583" s="9"/>
      <c r="BG583" s="15">
        <v>45166</v>
      </c>
      <c r="BH583" s="9" t="s">
        <v>10766</v>
      </c>
      <c r="BI583" s="9" t="s">
        <v>10511</v>
      </c>
    </row>
    <row r="584" spans="1:61" ht="12.75" x14ac:dyDescent="0.2">
      <c r="A584" s="8">
        <v>583</v>
      </c>
      <c r="B584" s="8" t="s">
        <v>1068</v>
      </c>
      <c r="C584" s="8" t="s">
        <v>10767</v>
      </c>
      <c r="D584" s="9" t="s">
        <v>10768</v>
      </c>
      <c r="E584" s="9" t="s">
        <v>10769</v>
      </c>
      <c r="F584" s="13" t="s">
        <v>10770</v>
      </c>
      <c r="G584" s="9" t="s">
        <v>200</v>
      </c>
      <c r="H584" s="9" t="s">
        <v>10771</v>
      </c>
      <c r="I584" s="9" t="s">
        <v>10772</v>
      </c>
      <c r="J584" s="9" t="s">
        <v>576</v>
      </c>
      <c r="K584" s="9" t="s">
        <v>68</v>
      </c>
      <c r="L584" s="9" t="s">
        <v>10773</v>
      </c>
      <c r="M584" s="9" t="s">
        <v>10774</v>
      </c>
      <c r="N584" s="9" t="s">
        <v>10775</v>
      </c>
      <c r="O584" s="9" t="s">
        <v>10776</v>
      </c>
      <c r="P584" s="9" t="s">
        <v>10777</v>
      </c>
      <c r="Q584" s="9" t="s">
        <v>10778</v>
      </c>
      <c r="R584" s="9"/>
      <c r="S584" s="9" t="s">
        <v>10779</v>
      </c>
      <c r="T584" s="9"/>
      <c r="U584" s="9"/>
      <c r="V584" s="9"/>
      <c r="W584" s="9" t="s">
        <v>80</v>
      </c>
      <c r="X584" s="12">
        <v>67</v>
      </c>
      <c r="Y584" s="12">
        <v>0</v>
      </c>
      <c r="Z584" s="12">
        <v>0</v>
      </c>
      <c r="AA584" s="12">
        <v>0</v>
      </c>
      <c r="AB584" s="12">
        <v>0</v>
      </c>
      <c r="AC584" s="9" t="s">
        <v>585</v>
      </c>
      <c r="AD584" s="9" t="s">
        <v>586</v>
      </c>
      <c r="AE584" s="9" t="s">
        <v>587</v>
      </c>
      <c r="AF584" s="9" t="s">
        <v>588</v>
      </c>
      <c r="AG584" s="9" t="s">
        <v>589</v>
      </c>
      <c r="AH584" s="9"/>
      <c r="AI584" s="9" t="s">
        <v>590</v>
      </c>
      <c r="AJ584" s="9" t="s">
        <v>591</v>
      </c>
      <c r="AK584" s="17">
        <v>45240</v>
      </c>
      <c r="AL584" s="12">
        <v>2023</v>
      </c>
      <c r="AM584" s="12">
        <v>898</v>
      </c>
      <c r="AN584" s="9"/>
      <c r="AO584" s="9"/>
      <c r="AP584" s="9"/>
      <c r="AQ584" s="9"/>
      <c r="AR584" s="9"/>
      <c r="AS584" s="9"/>
      <c r="AT584" s="9"/>
      <c r="AU584" s="12">
        <v>165377</v>
      </c>
      <c r="AV584" s="9"/>
      <c r="AW584" s="9"/>
      <c r="AX584" s="12">
        <v>10</v>
      </c>
      <c r="AY584" s="9" t="s">
        <v>91</v>
      </c>
      <c r="AZ584" s="9" t="s">
        <v>92</v>
      </c>
      <c r="BA584" s="9" t="s">
        <v>93</v>
      </c>
      <c r="BB584" s="9" t="s">
        <v>10780</v>
      </c>
      <c r="BC584" s="12">
        <v>37422228</v>
      </c>
      <c r="BD584" s="9"/>
      <c r="BE584" s="9"/>
      <c r="BF584" s="9"/>
      <c r="BG584" s="15">
        <v>45166</v>
      </c>
      <c r="BH584" s="9" t="s">
        <v>10781</v>
      </c>
      <c r="BI584" s="9" t="s">
        <v>10511</v>
      </c>
    </row>
    <row r="585" spans="1:61" ht="12.75" x14ac:dyDescent="0.2">
      <c r="A585" s="8">
        <v>584</v>
      </c>
      <c r="B585" s="8" t="s">
        <v>1068</v>
      </c>
      <c r="C585" s="8" t="s">
        <v>10782</v>
      </c>
      <c r="D585" s="9" t="s">
        <v>10783</v>
      </c>
      <c r="E585" s="9" t="s">
        <v>10784</v>
      </c>
      <c r="F585" s="26" t="s">
        <v>10785</v>
      </c>
      <c r="G585" s="9" t="s">
        <v>248</v>
      </c>
      <c r="H585" s="9" t="s">
        <v>10786</v>
      </c>
      <c r="I585" s="9" t="s">
        <v>10787</v>
      </c>
      <c r="J585" s="9" t="s">
        <v>8300</v>
      </c>
      <c r="K585" s="9" t="s">
        <v>68</v>
      </c>
      <c r="L585" s="9" t="s">
        <v>10788</v>
      </c>
      <c r="M585" s="9" t="s">
        <v>10789</v>
      </c>
      <c r="N585" s="9" t="s">
        <v>10790</v>
      </c>
      <c r="O585" s="9" t="s">
        <v>4331</v>
      </c>
      <c r="P585" s="9" t="s">
        <v>10791</v>
      </c>
      <c r="Q585" s="9" t="s">
        <v>10792</v>
      </c>
      <c r="R585" s="9"/>
      <c r="S585" s="9"/>
      <c r="T585" s="9"/>
      <c r="U585" s="9"/>
      <c r="V585" s="9"/>
      <c r="W585" s="9" t="s">
        <v>80</v>
      </c>
      <c r="X585" s="12">
        <v>124</v>
      </c>
      <c r="Y585" s="12">
        <v>0</v>
      </c>
      <c r="Z585" s="12">
        <v>0</v>
      </c>
      <c r="AA585" s="12">
        <v>6</v>
      </c>
      <c r="AB585" s="12">
        <v>6</v>
      </c>
      <c r="AC585" s="9" t="s">
        <v>139</v>
      </c>
      <c r="AD585" s="9" t="s">
        <v>140</v>
      </c>
      <c r="AE585" s="9" t="s">
        <v>141</v>
      </c>
      <c r="AF585" s="9" t="s">
        <v>8310</v>
      </c>
      <c r="AG585" s="9" t="s">
        <v>8311</v>
      </c>
      <c r="AH585" s="9"/>
      <c r="AI585" s="9" t="s">
        <v>8312</v>
      </c>
      <c r="AJ585" s="9" t="s">
        <v>8313</v>
      </c>
      <c r="AK585" s="27">
        <v>45122</v>
      </c>
      <c r="AL585" s="12">
        <v>2023</v>
      </c>
      <c r="AM585" s="9"/>
      <c r="AN585" s="9"/>
      <c r="AO585" s="9"/>
      <c r="AP585" s="9"/>
      <c r="AQ585" s="9"/>
      <c r="AR585" s="9"/>
      <c r="AS585" s="9"/>
      <c r="AT585" s="9"/>
      <c r="AU585" s="9"/>
      <c r="AV585" s="9"/>
      <c r="AW585" s="14">
        <v>45108</v>
      </c>
      <c r="AX585" s="12">
        <v>23</v>
      </c>
      <c r="AY585" s="9" t="s">
        <v>8314</v>
      </c>
      <c r="AZ585" s="9" t="s">
        <v>92</v>
      </c>
      <c r="BA585" s="9" t="s">
        <v>537</v>
      </c>
      <c r="BB585" s="9" t="s">
        <v>10793</v>
      </c>
      <c r="BC585" s="9"/>
      <c r="BD585" s="9"/>
      <c r="BE585" s="9"/>
      <c r="BF585" s="9"/>
      <c r="BG585" s="15">
        <v>45166</v>
      </c>
      <c r="BH585" s="9" t="s">
        <v>10794</v>
      </c>
      <c r="BI585" s="9" t="s">
        <v>10511</v>
      </c>
    </row>
    <row r="586" spans="1:61" ht="12.75" x14ac:dyDescent="0.2">
      <c r="A586" s="8">
        <v>585</v>
      </c>
      <c r="B586" s="8" t="s">
        <v>1068</v>
      </c>
      <c r="C586" s="8" t="s">
        <v>10795</v>
      </c>
      <c r="D586" s="9" t="s">
        <v>10796</v>
      </c>
      <c r="E586" s="9" t="s">
        <v>10797</v>
      </c>
      <c r="F586" s="13" t="s">
        <v>10798</v>
      </c>
      <c r="G586" s="9" t="s">
        <v>200</v>
      </c>
      <c r="H586" s="9" t="s">
        <v>10799</v>
      </c>
      <c r="I586" s="9" t="s">
        <v>10800</v>
      </c>
      <c r="J586" s="9" t="s">
        <v>10801</v>
      </c>
      <c r="K586" s="9" t="s">
        <v>68</v>
      </c>
      <c r="L586" s="9" t="s">
        <v>10802</v>
      </c>
      <c r="M586" s="9" t="s">
        <v>10803</v>
      </c>
      <c r="N586" s="9" t="s">
        <v>10804</v>
      </c>
      <c r="O586" s="9" t="s">
        <v>10805</v>
      </c>
      <c r="P586" s="9" t="s">
        <v>10806</v>
      </c>
      <c r="Q586" s="9" t="s">
        <v>10807</v>
      </c>
      <c r="R586" s="9" t="s">
        <v>10808</v>
      </c>
      <c r="S586" s="9" t="s">
        <v>10809</v>
      </c>
      <c r="T586" s="9" t="s">
        <v>10810</v>
      </c>
      <c r="U586" s="9" t="s">
        <v>10811</v>
      </c>
      <c r="V586" s="9" t="s">
        <v>10812</v>
      </c>
      <c r="W586" s="9" t="s">
        <v>80</v>
      </c>
      <c r="X586" s="12">
        <v>56</v>
      </c>
      <c r="Y586" s="12">
        <v>1</v>
      </c>
      <c r="Z586" s="12">
        <v>1</v>
      </c>
      <c r="AA586" s="12">
        <v>0</v>
      </c>
      <c r="AB586" s="12">
        <v>0</v>
      </c>
      <c r="AC586" s="9" t="s">
        <v>585</v>
      </c>
      <c r="AD586" s="9" t="s">
        <v>586</v>
      </c>
      <c r="AE586" s="9" t="s">
        <v>587</v>
      </c>
      <c r="AF586" s="9"/>
      <c r="AG586" s="9" t="s">
        <v>10813</v>
      </c>
      <c r="AH586" s="9"/>
      <c r="AI586" s="9" t="s">
        <v>10814</v>
      </c>
      <c r="AJ586" s="9" t="s">
        <v>10815</v>
      </c>
      <c r="AK586" s="9" t="s">
        <v>342</v>
      </c>
      <c r="AL586" s="12">
        <v>2023</v>
      </c>
      <c r="AM586" s="12">
        <v>35</v>
      </c>
      <c r="AN586" s="9"/>
      <c r="AO586" s="9"/>
      <c r="AP586" s="9"/>
      <c r="AQ586" s="9"/>
      <c r="AR586" s="9"/>
      <c r="AS586" s="9"/>
      <c r="AT586" s="9"/>
      <c r="AU586" s="12">
        <v>105868</v>
      </c>
      <c r="AV586" s="9"/>
      <c r="AW586" s="14">
        <v>44986</v>
      </c>
      <c r="AX586" s="12">
        <v>12</v>
      </c>
      <c r="AY586" s="9" t="s">
        <v>5833</v>
      </c>
      <c r="AZ586" s="9" t="s">
        <v>92</v>
      </c>
      <c r="BA586" s="9" t="s">
        <v>3123</v>
      </c>
      <c r="BB586" s="9" t="s">
        <v>10816</v>
      </c>
      <c r="BC586" s="9"/>
      <c r="BD586" s="9"/>
      <c r="BE586" s="9"/>
      <c r="BF586" s="9"/>
      <c r="BG586" s="15">
        <v>45166</v>
      </c>
      <c r="BH586" s="9" t="s">
        <v>10817</v>
      </c>
      <c r="BI586" s="9" t="s">
        <v>10511</v>
      </c>
    </row>
    <row r="587" spans="1:61" ht="12.75" x14ac:dyDescent="0.2">
      <c r="A587" s="8">
        <v>586</v>
      </c>
      <c r="B587" s="8" t="s">
        <v>1068</v>
      </c>
      <c r="C587" s="8" t="s">
        <v>10818</v>
      </c>
      <c r="D587" s="9" t="s">
        <v>10819</v>
      </c>
      <c r="E587" s="9" t="s">
        <v>10820</v>
      </c>
      <c r="F587" s="25" t="s">
        <v>10821</v>
      </c>
      <c r="G587" s="9" t="s">
        <v>200</v>
      </c>
      <c r="H587" s="9" t="s">
        <v>10822</v>
      </c>
      <c r="I587" s="9" t="s">
        <v>10823</v>
      </c>
      <c r="J587" s="9" t="s">
        <v>10824</v>
      </c>
      <c r="K587" s="9" t="s">
        <v>68</v>
      </c>
      <c r="L587" s="9" t="s">
        <v>10825</v>
      </c>
      <c r="M587" s="9" t="s">
        <v>10826</v>
      </c>
      <c r="N587" s="9" t="s">
        <v>10827</v>
      </c>
      <c r="O587" s="9" t="s">
        <v>10828</v>
      </c>
      <c r="P587" s="9" t="s">
        <v>10829</v>
      </c>
      <c r="Q587" s="9" t="s">
        <v>10830</v>
      </c>
      <c r="R587" s="9"/>
      <c r="S587" s="9"/>
      <c r="T587" s="9"/>
      <c r="U587" s="9"/>
      <c r="V587" s="9"/>
      <c r="W587" s="9" t="s">
        <v>80</v>
      </c>
      <c r="X587" s="12">
        <v>44</v>
      </c>
      <c r="Y587" s="12">
        <v>0</v>
      </c>
      <c r="Z587" s="12">
        <v>0</v>
      </c>
      <c r="AA587" s="12">
        <v>1</v>
      </c>
      <c r="AB587" s="12">
        <v>1</v>
      </c>
      <c r="AC587" s="9" t="s">
        <v>585</v>
      </c>
      <c r="AD587" s="9" t="s">
        <v>586</v>
      </c>
      <c r="AE587" s="9" t="s">
        <v>587</v>
      </c>
      <c r="AF587" s="9" t="s">
        <v>10831</v>
      </c>
      <c r="AG587" s="9" t="s">
        <v>10832</v>
      </c>
      <c r="AH587" s="9"/>
      <c r="AI587" s="9" t="s">
        <v>10833</v>
      </c>
      <c r="AJ587" s="9" t="s">
        <v>10834</v>
      </c>
      <c r="AK587" s="9" t="s">
        <v>873</v>
      </c>
      <c r="AL587" s="12">
        <v>2023</v>
      </c>
      <c r="AM587" s="12">
        <v>132</v>
      </c>
      <c r="AN587" s="9"/>
      <c r="AO587" s="9"/>
      <c r="AP587" s="9"/>
      <c r="AQ587" s="9"/>
      <c r="AR587" s="9"/>
      <c r="AS587" s="9"/>
      <c r="AT587" s="9"/>
      <c r="AU587" s="12">
        <v>102314</v>
      </c>
      <c r="AV587" s="9"/>
      <c r="AW587" s="9"/>
      <c r="AX587" s="12">
        <v>11</v>
      </c>
      <c r="AY587" s="9" t="s">
        <v>10835</v>
      </c>
      <c r="AZ587" s="9" t="s">
        <v>92</v>
      </c>
      <c r="BA587" s="9" t="s">
        <v>10836</v>
      </c>
      <c r="BB587" s="9" t="s">
        <v>10837</v>
      </c>
      <c r="BC587" s="12">
        <v>37473873</v>
      </c>
      <c r="BD587" s="9"/>
      <c r="BE587" s="9"/>
      <c r="BF587" s="9"/>
      <c r="BG587" s="15">
        <v>45166</v>
      </c>
      <c r="BH587" s="9" t="s">
        <v>10838</v>
      </c>
      <c r="BI587" s="9" t="s">
        <v>10511</v>
      </c>
    </row>
    <row r="588" spans="1:61" ht="12.75" x14ac:dyDescent="0.2">
      <c r="A588" s="18"/>
      <c r="B588" s="8"/>
      <c r="C588" s="8"/>
      <c r="D588" s="19"/>
      <c r="E588" s="9"/>
      <c r="F588" s="20"/>
      <c r="G588" s="9"/>
      <c r="H588" s="9"/>
      <c r="I588" s="9"/>
      <c r="J588" s="9"/>
      <c r="K588" s="9"/>
      <c r="L588" s="9"/>
      <c r="M588" s="9"/>
      <c r="N588" s="9"/>
      <c r="O588" s="9"/>
      <c r="P588" s="9"/>
      <c r="Q588" s="9"/>
      <c r="R588" s="9"/>
      <c r="S588" s="9"/>
      <c r="T588" s="9"/>
      <c r="U588" s="9"/>
      <c r="V588" s="9"/>
      <c r="W588" s="9"/>
      <c r="X588" s="12"/>
      <c r="Y588" s="12"/>
      <c r="Z588" s="12"/>
      <c r="AA588" s="12"/>
      <c r="AB588" s="12"/>
      <c r="AC588" s="9"/>
      <c r="AD588" s="9"/>
      <c r="AE588" s="9"/>
      <c r="AF588" s="9"/>
      <c r="AG588" s="9"/>
      <c r="AH588" s="9"/>
      <c r="AI588" s="9"/>
      <c r="AJ588" s="9"/>
      <c r="AK588" s="9"/>
      <c r="AL588" s="12"/>
      <c r="AM588" s="12"/>
      <c r="AN588" s="12"/>
      <c r="AO588" s="9"/>
      <c r="AP588" s="9"/>
      <c r="AQ588" s="9"/>
      <c r="AR588" s="9"/>
      <c r="AS588" s="12"/>
      <c r="AT588" s="12"/>
      <c r="AU588" s="9"/>
      <c r="AV588" s="9"/>
      <c r="AW588" s="9"/>
      <c r="AX588" s="12"/>
      <c r="AY588" s="9"/>
      <c r="AZ588" s="9"/>
      <c r="BA588" s="9"/>
      <c r="BB588" s="9"/>
      <c r="BC588" s="9"/>
      <c r="BD588" s="9"/>
      <c r="BE588" s="9"/>
      <c r="BF588" s="9"/>
      <c r="BG588" s="9"/>
      <c r="BH588" s="9"/>
      <c r="BI588" s="9"/>
    </row>
    <row r="589" spans="1:61" ht="12.75" x14ac:dyDescent="0.2">
      <c r="A589" s="18"/>
      <c r="B589" s="8"/>
      <c r="C589" s="8"/>
      <c r="D589" s="19"/>
      <c r="E589" s="9"/>
      <c r="F589" s="20"/>
      <c r="G589" s="9"/>
      <c r="H589" s="9"/>
      <c r="I589" s="9"/>
      <c r="J589" s="9"/>
      <c r="K589" s="9"/>
      <c r="L589" s="9"/>
      <c r="M589" s="9"/>
      <c r="N589" s="9"/>
      <c r="O589" s="9"/>
      <c r="P589" s="9"/>
      <c r="Q589" s="9"/>
      <c r="R589" s="9"/>
      <c r="S589" s="9"/>
      <c r="T589" s="9"/>
      <c r="U589" s="9"/>
      <c r="V589" s="9"/>
      <c r="W589" s="9"/>
      <c r="X589" s="12"/>
      <c r="Y589" s="12"/>
      <c r="Z589" s="12"/>
      <c r="AA589" s="12"/>
      <c r="AB589" s="12"/>
      <c r="AC589" s="9"/>
      <c r="AD589" s="9"/>
      <c r="AE589" s="9"/>
      <c r="AF589" s="9"/>
      <c r="AG589" s="9"/>
      <c r="AH589" s="9"/>
      <c r="AI589" s="9"/>
      <c r="AJ589" s="9"/>
      <c r="AK589" s="9"/>
      <c r="AL589" s="12"/>
      <c r="AM589" s="12"/>
      <c r="AN589" s="9"/>
      <c r="AO589" s="9"/>
      <c r="AP589" s="9"/>
      <c r="AQ589" s="9"/>
      <c r="AR589" s="9"/>
      <c r="AS589" s="9"/>
      <c r="AT589" s="9"/>
      <c r="AU589" s="12"/>
      <c r="AV589" s="9"/>
      <c r="AW589" s="9"/>
      <c r="AX589" s="12"/>
      <c r="AY589" s="9"/>
      <c r="AZ589" s="9"/>
      <c r="BA589" s="9"/>
      <c r="BB589" s="9"/>
      <c r="BC589" s="9"/>
      <c r="BD589" s="9"/>
      <c r="BE589" s="9"/>
      <c r="BF589" s="9"/>
      <c r="BG589" s="9"/>
      <c r="BH589" s="9"/>
      <c r="BI589" s="9"/>
    </row>
    <row r="590" spans="1:61" ht="12.75" x14ac:dyDescent="0.2">
      <c r="A590" s="18"/>
      <c r="B590" s="8"/>
      <c r="C590" s="8"/>
      <c r="D590" s="19"/>
      <c r="E590" s="9"/>
      <c r="F590" s="20"/>
      <c r="G590" s="9"/>
      <c r="H590" s="9"/>
      <c r="I590" s="9"/>
      <c r="J590" s="9"/>
      <c r="K590" s="9"/>
      <c r="L590" s="9"/>
      <c r="M590" s="9"/>
      <c r="N590" s="9"/>
      <c r="O590" s="9"/>
      <c r="P590" s="9"/>
      <c r="Q590" s="9"/>
      <c r="R590" s="9"/>
      <c r="S590" s="9"/>
      <c r="T590" s="9"/>
      <c r="U590" s="9"/>
      <c r="V590" s="9"/>
      <c r="W590" s="9"/>
      <c r="X590" s="12"/>
      <c r="Y590" s="12"/>
      <c r="Z590" s="12"/>
      <c r="AA590" s="12"/>
      <c r="AB590" s="12"/>
      <c r="AC590" s="9"/>
      <c r="AD590" s="9"/>
      <c r="AE590" s="9"/>
      <c r="AF590" s="9"/>
      <c r="AG590" s="9"/>
      <c r="AH590" s="9"/>
      <c r="AI590" s="9"/>
      <c r="AJ590" s="9"/>
      <c r="AK590" s="9"/>
      <c r="AL590" s="12"/>
      <c r="AM590" s="12"/>
      <c r="AN590" s="12"/>
      <c r="AO590" s="9"/>
      <c r="AP590" s="9"/>
      <c r="AQ590" s="9"/>
      <c r="AR590" s="9"/>
      <c r="AS590" s="9"/>
      <c r="AT590" s="9"/>
      <c r="AU590" s="12"/>
      <c r="AV590" s="9"/>
      <c r="AW590" s="9"/>
      <c r="AX590" s="12"/>
      <c r="AY590" s="9"/>
      <c r="AZ590" s="9"/>
      <c r="BA590" s="9"/>
      <c r="BB590" s="9"/>
      <c r="BC590" s="9"/>
      <c r="BD590" s="9"/>
      <c r="BE590" s="9"/>
      <c r="BF590" s="9"/>
      <c r="BG590" s="9"/>
      <c r="BH590" s="9"/>
      <c r="BI590" s="9"/>
    </row>
    <row r="591" spans="1:61" ht="12.75" x14ac:dyDescent="0.2">
      <c r="A591" s="21"/>
      <c r="B591" s="22"/>
      <c r="C591" s="22"/>
      <c r="D591" s="23"/>
      <c r="G591" s="24"/>
      <c r="H591" s="24"/>
      <c r="I591" s="24"/>
      <c r="J591" s="24"/>
      <c r="K591" s="24"/>
      <c r="M591" s="24"/>
      <c r="W591" s="24"/>
    </row>
    <row r="592" spans="1:61" ht="12.75" x14ac:dyDescent="0.2">
      <c r="A592" s="21"/>
      <c r="B592" s="22"/>
      <c r="C592" s="22"/>
      <c r="D592" s="23"/>
      <c r="G592" s="24"/>
      <c r="H592" s="24"/>
      <c r="I592" s="24"/>
      <c r="J592" s="24"/>
      <c r="K592" s="24"/>
      <c r="M592" s="24"/>
      <c r="W592" s="24"/>
    </row>
    <row r="593" spans="1:23" ht="12.75" x14ac:dyDescent="0.2">
      <c r="A593" s="21"/>
      <c r="B593" s="22"/>
      <c r="C593" s="22"/>
      <c r="D593" s="23"/>
      <c r="G593" s="24"/>
      <c r="H593" s="24"/>
      <c r="I593" s="24"/>
      <c r="J593" s="24"/>
      <c r="K593" s="24"/>
      <c r="M593" s="24"/>
      <c r="W593" s="24"/>
    </row>
    <row r="594" spans="1:23" ht="12.75" x14ac:dyDescent="0.2">
      <c r="A594" s="21"/>
      <c r="B594" s="22"/>
      <c r="C594" s="22"/>
      <c r="D594" s="23"/>
      <c r="G594" s="24"/>
      <c r="H594" s="24"/>
      <c r="I594" s="24"/>
      <c r="J594" s="24"/>
      <c r="K594" s="24"/>
      <c r="M594" s="24"/>
      <c r="W594" s="24"/>
    </row>
    <row r="595" spans="1:23" ht="12.75" x14ac:dyDescent="0.2">
      <c r="A595" s="21"/>
      <c r="B595" s="22"/>
      <c r="C595" s="22"/>
      <c r="D595" s="23"/>
      <c r="G595" s="24"/>
      <c r="H595" s="24"/>
      <c r="I595" s="24"/>
      <c r="J595" s="24"/>
      <c r="K595" s="24"/>
      <c r="M595" s="24"/>
      <c r="W595" s="24"/>
    </row>
    <row r="596" spans="1:23" ht="12.75" x14ac:dyDescent="0.2">
      <c r="A596" s="21"/>
      <c r="B596" s="22"/>
      <c r="C596" s="22"/>
      <c r="D596" s="23"/>
      <c r="G596" s="24"/>
      <c r="H596" s="24"/>
      <c r="I596" s="24"/>
      <c r="J596" s="24"/>
      <c r="K596" s="24"/>
      <c r="M596" s="24"/>
      <c r="W596" s="24"/>
    </row>
    <row r="597" spans="1:23" ht="12.75" x14ac:dyDescent="0.2">
      <c r="A597" s="21"/>
      <c r="B597" s="22"/>
      <c r="C597" s="22"/>
      <c r="D597" s="23"/>
      <c r="G597" s="24"/>
      <c r="H597" s="24"/>
      <c r="I597" s="24"/>
      <c r="J597" s="24"/>
      <c r="K597" s="24"/>
      <c r="M597" s="24"/>
      <c r="W597" s="24"/>
    </row>
    <row r="598" spans="1:23" ht="12.75" x14ac:dyDescent="0.2">
      <c r="A598" s="21"/>
      <c r="B598" s="22"/>
      <c r="C598" s="22"/>
      <c r="D598" s="23"/>
      <c r="G598" s="24"/>
      <c r="H598" s="24"/>
      <c r="I598" s="24"/>
      <c r="J598" s="24"/>
      <c r="K598" s="24"/>
      <c r="M598" s="24"/>
      <c r="W598" s="24"/>
    </row>
    <row r="599" spans="1:23" ht="12.75" x14ac:dyDescent="0.2">
      <c r="A599" s="21"/>
      <c r="B599" s="22"/>
      <c r="C599" s="22"/>
      <c r="D599" s="23"/>
      <c r="G599" s="24"/>
      <c r="H599" s="24"/>
      <c r="I599" s="24"/>
      <c r="J599" s="24"/>
      <c r="K599" s="24"/>
      <c r="M599" s="24"/>
      <c r="W599" s="24"/>
    </row>
    <row r="600" spans="1:23" ht="12.75" x14ac:dyDescent="0.2">
      <c r="A600" s="21"/>
      <c r="B600" s="22"/>
      <c r="C600" s="22"/>
      <c r="D600" s="23"/>
      <c r="G600" s="24"/>
      <c r="H600" s="24"/>
      <c r="I600" s="24"/>
      <c r="J600" s="24"/>
      <c r="K600" s="24"/>
      <c r="M600" s="24"/>
      <c r="W600" s="24"/>
    </row>
    <row r="601" spans="1:23" ht="12.75" x14ac:dyDescent="0.2">
      <c r="A601" s="21"/>
      <c r="B601" s="22"/>
      <c r="C601" s="22"/>
      <c r="D601" s="23"/>
      <c r="G601" s="24"/>
      <c r="H601" s="24"/>
      <c r="I601" s="24"/>
      <c r="J601" s="24"/>
      <c r="K601" s="24"/>
      <c r="M601" s="24"/>
      <c r="W601" s="24"/>
    </row>
    <row r="602" spans="1:23" ht="12.75" x14ac:dyDescent="0.2">
      <c r="A602" s="21"/>
      <c r="B602" s="22"/>
      <c r="C602" s="22"/>
      <c r="D602" s="23"/>
      <c r="G602" s="24"/>
      <c r="H602" s="24"/>
      <c r="I602" s="24"/>
      <c r="J602" s="24"/>
      <c r="K602" s="24"/>
      <c r="M602" s="24"/>
      <c r="W602" s="24"/>
    </row>
    <row r="603" spans="1:23" ht="12.75" x14ac:dyDescent="0.2">
      <c r="A603" s="21"/>
      <c r="B603" s="22"/>
      <c r="C603" s="22"/>
      <c r="D603" s="23"/>
      <c r="G603" s="24"/>
      <c r="H603" s="24"/>
      <c r="I603" s="24"/>
      <c r="J603" s="24"/>
      <c r="K603" s="24"/>
      <c r="M603" s="24"/>
      <c r="W603" s="24"/>
    </row>
    <row r="604" spans="1:23" ht="12.75" x14ac:dyDescent="0.2">
      <c r="A604" s="21"/>
      <c r="B604" s="22"/>
      <c r="C604" s="22"/>
      <c r="D604" s="23"/>
      <c r="G604" s="24"/>
      <c r="H604" s="24"/>
      <c r="I604" s="24"/>
      <c r="J604" s="24"/>
      <c r="K604" s="24"/>
      <c r="M604" s="24"/>
      <c r="W604" s="24"/>
    </row>
    <row r="605" spans="1:23" ht="12.75" x14ac:dyDescent="0.2">
      <c r="A605" s="21"/>
      <c r="B605" s="22"/>
      <c r="C605" s="22"/>
      <c r="D605" s="23"/>
      <c r="G605" s="24"/>
      <c r="H605" s="24"/>
      <c r="I605" s="24"/>
      <c r="J605" s="24"/>
      <c r="K605" s="24"/>
      <c r="M605" s="24"/>
      <c r="W605" s="24"/>
    </row>
    <row r="606" spans="1:23" ht="12.75" x14ac:dyDescent="0.2">
      <c r="A606" s="21"/>
      <c r="B606" s="22"/>
      <c r="C606" s="22"/>
      <c r="D606" s="23"/>
      <c r="G606" s="24"/>
      <c r="H606" s="24"/>
      <c r="I606" s="24"/>
      <c r="J606" s="24"/>
      <c r="K606" s="24"/>
      <c r="M606" s="24"/>
      <c r="W606" s="24"/>
    </row>
    <row r="607" spans="1:23" ht="12.75" x14ac:dyDescent="0.2">
      <c r="A607" s="21"/>
      <c r="B607" s="22"/>
      <c r="C607" s="22"/>
      <c r="D607" s="23"/>
      <c r="G607" s="24"/>
      <c r="H607" s="24"/>
      <c r="I607" s="24"/>
      <c r="J607" s="24"/>
      <c r="K607" s="24"/>
      <c r="M607" s="24"/>
      <c r="W607" s="24"/>
    </row>
    <row r="608" spans="1:23" ht="12.75" x14ac:dyDescent="0.2">
      <c r="A608" s="21"/>
      <c r="B608" s="22"/>
      <c r="C608" s="22"/>
      <c r="D608" s="23"/>
      <c r="G608" s="24"/>
      <c r="H608" s="24"/>
      <c r="I608" s="24"/>
      <c r="J608" s="24"/>
      <c r="K608" s="24"/>
      <c r="M608" s="24"/>
      <c r="W608" s="24"/>
    </row>
    <row r="609" spans="1:23" ht="12.75" x14ac:dyDescent="0.2">
      <c r="A609" s="21"/>
      <c r="B609" s="22"/>
      <c r="C609" s="22"/>
      <c r="D609" s="23"/>
      <c r="G609" s="24"/>
      <c r="H609" s="24"/>
      <c r="I609" s="24"/>
      <c r="J609" s="24"/>
      <c r="K609" s="24"/>
      <c r="M609" s="24"/>
      <c r="W609" s="24"/>
    </row>
    <row r="610" spans="1:23" ht="12.75" x14ac:dyDescent="0.2">
      <c r="A610" s="21"/>
      <c r="B610" s="22"/>
      <c r="C610" s="22"/>
      <c r="D610" s="23"/>
      <c r="G610" s="24"/>
      <c r="H610" s="24"/>
      <c r="I610" s="24"/>
      <c r="J610" s="24"/>
      <c r="K610" s="24"/>
      <c r="M610" s="24"/>
      <c r="W610" s="24"/>
    </row>
    <row r="611" spans="1:23" ht="12.75" x14ac:dyDescent="0.2">
      <c r="A611" s="21"/>
      <c r="B611" s="22"/>
      <c r="C611" s="22"/>
      <c r="D611" s="23"/>
      <c r="G611" s="24"/>
      <c r="H611" s="24"/>
      <c r="I611" s="24"/>
      <c r="J611" s="24"/>
      <c r="K611" s="24"/>
      <c r="M611" s="24"/>
      <c r="W611" s="24"/>
    </row>
    <row r="612" spans="1:23" ht="12.75" x14ac:dyDescent="0.2">
      <c r="A612" s="21"/>
      <c r="B612" s="22"/>
      <c r="C612" s="22"/>
      <c r="D612" s="23"/>
      <c r="G612" s="24"/>
      <c r="H612" s="24"/>
      <c r="I612" s="24"/>
      <c r="J612" s="24"/>
      <c r="K612" s="24"/>
      <c r="M612" s="24"/>
      <c r="W612" s="24"/>
    </row>
    <row r="613" spans="1:23" ht="12.75" x14ac:dyDescent="0.2">
      <c r="A613" s="21"/>
      <c r="B613" s="22"/>
      <c r="C613" s="22"/>
      <c r="D613" s="23"/>
      <c r="G613" s="24"/>
      <c r="H613" s="24"/>
      <c r="I613" s="24"/>
      <c r="J613" s="24"/>
      <c r="K613" s="24"/>
      <c r="M613" s="24"/>
      <c r="W613" s="24"/>
    </row>
    <row r="614" spans="1:23" ht="12.75" x14ac:dyDescent="0.2">
      <c r="A614" s="21"/>
      <c r="B614" s="22"/>
      <c r="C614" s="22"/>
      <c r="D614" s="23"/>
      <c r="G614" s="24"/>
      <c r="H614" s="24"/>
      <c r="I614" s="24"/>
      <c r="J614" s="24"/>
      <c r="K614" s="24"/>
      <c r="M614" s="24"/>
      <c r="W614" s="24"/>
    </row>
    <row r="615" spans="1:23" ht="12.75" x14ac:dyDescent="0.2">
      <c r="A615" s="21"/>
      <c r="B615" s="22"/>
      <c r="C615" s="22"/>
      <c r="D615" s="23"/>
      <c r="G615" s="24"/>
      <c r="H615" s="24"/>
      <c r="I615" s="24"/>
      <c r="J615" s="24"/>
      <c r="K615" s="24"/>
      <c r="M615" s="24"/>
      <c r="W615" s="24"/>
    </row>
    <row r="616" spans="1:23" ht="12.75" x14ac:dyDescent="0.2">
      <c r="A616" s="21"/>
      <c r="B616" s="22"/>
      <c r="C616" s="22"/>
      <c r="D616" s="23"/>
      <c r="G616" s="24"/>
      <c r="H616" s="24"/>
      <c r="I616" s="24"/>
      <c r="J616" s="24"/>
      <c r="K616" s="24"/>
      <c r="M616" s="24"/>
      <c r="W616" s="24"/>
    </row>
    <row r="617" spans="1:23" ht="12.75" x14ac:dyDescent="0.2">
      <c r="A617" s="21"/>
      <c r="B617" s="22"/>
      <c r="C617" s="22"/>
      <c r="D617" s="23"/>
      <c r="G617" s="24"/>
      <c r="H617" s="24"/>
      <c r="I617" s="24"/>
      <c r="J617" s="24"/>
      <c r="K617" s="24"/>
      <c r="M617" s="24"/>
      <c r="W617" s="24"/>
    </row>
    <row r="618" spans="1:23" ht="12.75" x14ac:dyDescent="0.2">
      <c r="A618" s="21"/>
      <c r="B618" s="22"/>
      <c r="C618" s="22"/>
      <c r="D618" s="23"/>
      <c r="G618" s="24"/>
      <c r="H618" s="24"/>
      <c r="I618" s="24"/>
      <c r="J618" s="24"/>
      <c r="K618" s="24"/>
      <c r="M618" s="24"/>
      <c r="W618" s="24"/>
    </row>
    <row r="619" spans="1:23" ht="12.75" x14ac:dyDescent="0.2">
      <c r="A619" s="21"/>
      <c r="B619" s="22"/>
      <c r="C619" s="22"/>
      <c r="D619" s="23"/>
      <c r="G619" s="24"/>
      <c r="H619" s="24"/>
      <c r="I619" s="24"/>
      <c r="J619" s="24"/>
      <c r="K619" s="24"/>
      <c r="M619" s="24"/>
      <c r="W619" s="24"/>
    </row>
    <row r="620" spans="1:23" ht="12.75" x14ac:dyDescent="0.2">
      <c r="A620" s="21"/>
      <c r="B620" s="22"/>
      <c r="C620" s="22"/>
      <c r="D620" s="23"/>
      <c r="G620" s="24"/>
      <c r="H620" s="24"/>
      <c r="I620" s="24"/>
      <c r="J620" s="24"/>
      <c r="K620" s="24"/>
      <c r="M620" s="24"/>
      <c r="W620" s="24"/>
    </row>
    <row r="621" spans="1:23" ht="12.75" x14ac:dyDescent="0.2">
      <c r="A621" s="21"/>
      <c r="B621" s="22"/>
      <c r="C621" s="22"/>
      <c r="D621" s="23"/>
      <c r="G621" s="24"/>
      <c r="H621" s="24"/>
      <c r="I621" s="24"/>
      <c r="J621" s="24"/>
      <c r="K621" s="24"/>
      <c r="M621" s="24"/>
      <c r="W621" s="24"/>
    </row>
    <row r="622" spans="1:23" ht="12.75" x14ac:dyDescent="0.2">
      <c r="A622" s="21"/>
      <c r="B622" s="22"/>
      <c r="C622" s="22"/>
      <c r="D622" s="23"/>
      <c r="G622" s="24"/>
      <c r="H622" s="24"/>
      <c r="I622" s="24"/>
      <c r="J622" s="24"/>
      <c r="K622" s="24"/>
      <c r="M622" s="24"/>
      <c r="W622" s="24"/>
    </row>
    <row r="623" spans="1:23" ht="12.75" x14ac:dyDescent="0.2">
      <c r="A623" s="21"/>
      <c r="B623" s="22"/>
      <c r="C623" s="22"/>
      <c r="D623" s="23"/>
      <c r="G623" s="24"/>
      <c r="H623" s="24"/>
      <c r="I623" s="24"/>
      <c r="J623" s="24"/>
      <c r="K623" s="24"/>
      <c r="M623" s="24"/>
      <c r="W623" s="24"/>
    </row>
    <row r="624" spans="1:23" ht="12.75" x14ac:dyDescent="0.2">
      <c r="A624" s="21"/>
      <c r="B624" s="22"/>
      <c r="C624" s="22"/>
      <c r="D624" s="23"/>
      <c r="G624" s="24"/>
      <c r="H624" s="24"/>
      <c r="I624" s="24"/>
      <c r="J624" s="24"/>
      <c r="K624" s="24"/>
      <c r="M624" s="24"/>
      <c r="W624" s="24"/>
    </row>
    <row r="625" spans="1:23" ht="12.75" x14ac:dyDescent="0.2">
      <c r="A625" s="21"/>
      <c r="B625" s="22"/>
      <c r="C625" s="22"/>
      <c r="D625" s="23"/>
      <c r="G625" s="24"/>
      <c r="H625" s="24"/>
      <c r="I625" s="24"/>
      <c r="J625" s="24"/>
      <c r="K625" s="24"/>
      <c r="M625" s="24"/>
      <c r="W625" s="24"/>
    </row>
    <row r="626" spans="1:23" ht="12.75" x14ac:dyDescent="0.2">
      <c r="A626" s="21"/>
      <c r="B626" s="22"/>
      <c r="C626" s="22"/>
      <c r="D626" s="23"/>
      <c r="G626" s="24"/>
      <c r="H626" s="24"/>
      <c r="I626" s="24"/>
      <c r="J626" s="24"/>
      <c r="K626" s="24"/>
      <c r="M626" s="24"/>
      <c r="W626" s="24"/>
    </row>
    <row r="627" spans="1:23" ht="12.75" x14ac:dyDescent="0.2">
      <c r="A627" s="21"/>
      <c r="B627" s="22"/>
      <c r="C627" s="22"/>
      <c r="D627" s="23"/>
      <c r="G627" s="24"/>
      <c r="H627" s="24"/>
      <c r="I627" s="24"/>
      <c r="J627" s="24"/>
      <c r="K627" s="24"/>
      <c r="M627" s="24"/>
      <c r="W627" s="24"/>
    </row>
    <row r="628" spans="1:23" ht="12.75" x14ac:dyDescent="0.2">
      <c r="A628" s="21"/>
      <c r="B628" s="22"/>
      <c r="C628" s="22"/>
      <c r="D628" s="23"/>
      <c r="G628" s="24"/>
      <c r="H628" s="24"/>
      <c r="I628" s="24"/>
      <c r="J628" s="24"/>
      <c r="K628" s="24"/>
      <c r="M628" s="24"/>
      <c r="W628" s="24"/>
    </row>
    <row r="629" spans="1:23" ht="12.75" x14ac:dyDescent="0.2">
      <c r="A629" s="21"/>
      <c r="B629" s="22"/>
      <c r="C629" s="22"/>
      <c r="D629" s="23"/>
      <c r="G629" s="24"/>
      <c r="H629" s="24"/>
      <c r="I629" s="24"/>
      <c r="J629" s="24"/>
      <c r="K629" s="24"/>
      <c r="M629" s="24"/>
      <c r="W629" s="24"/>
    </row>
    <row r="630" spans="1:23" ht="12.75" x14ac:dyDescent="0.2">
      <c r="A630" s="21"/>
      <c r="B630" s="22"/>
      <c r="C630" s="22"/>
      <c r="D630" s="23"/>
      <c r="G630" s="24"/>
      <c r="H630" s="24"/>
      <c r="I630" s="24"/>
      <c r="J630" s="24"/>
      <c r="K630" s="24"/>
      <c r="M630" s="24"/>
      <c r="W630" s="24"/>
    </row>
    <row r="631" spans="1:23" ht="12.75" x14ac:dyDescent="0.2">
      <c r="A631" s="21"/>
      <c r="B631" s="22"/>
      <c r="C631" s="22"/>
      <c r="D631" s="23"/>
      <c r="G631" s="24"/>
      <c r="H631" s="24"/>
      <c r="I631" s="24"/>
      <c r="J631" s="24"/>
      <c r="K631" s="24"/>
      <c r="M631" s="24"/>
      <c r="W631" s="24"/>
    </row>
    <row r="632" spans="1:23" ht="12.75" x14ac:dyDescent="0.2">
      <c r="A632" s="21"/>
      <c r="B632" s="22"/>
      <c r="C632" s="22"/>
      <c r="D632" s="23"/>
      <c r="G632" s="24"/>
      <c r="H632" s="24"/>
      <c r="I632" s="24"/>
      <c r="J632" s="24"/>
      <c r="K632" s="24"/>
      <c r="M632" s="24"/>
      <c r="W632" s="24"/>
    </row>
    <row r="633" spans="1:23" ht="12.75" x14ac:dyDescent="0.2">
      <c r="A633" s="21"/>
      <c r="B633" s="22"/>
      <c r="C633" s="22"/>
      <c r="D633" s="23"/>
      <c r="G633" s="24"/>
      <c r="H633" s="24"/>
      <c r="I633" s="24"/>
      <c r="J633" s="24"/>
      <c r="K633" s="24"/>
      <c r="M633" s="24"/>
      <c r="W633" s="24"/>
    </row>
    <row r="634" spans="1:23" ht="12.75" x14ac:dyDescent="0.2">
      <c r="A634" s="21"/>
      <c r="B634" s="22"/>
      <c r="C634" s="22"/>
      <c r="D634" s="23"/>
      <c r="G634" s="24"/>
      <c r="H634" s="24"/>
      <c r="I634" s="24"/>
      <c r="J634" s="24"/>
      <c r="K634" s="24"/>
      <c r="M634" s="24"/>
      <c r="W634" s="24"/>
    </row>
    <row r="635" spans="1:23" ht="12.75" x14ac:dyDescent="0.2">
      <c r="A635" s="21"/>
      <c r="B635" s="22"/>
      <c r="C635" s="22"/>
      <c r="D635" s="23"/>
      <c r="G635" s="24"/>
      <c r="H635" s="24"/>
      <c r="I635" s="24"/>
      <c r="J635" s="24"/>
      <c r="K635" s="24"/>
      <c r="M635" s="24"/>
      <c r="W635" s="24"/>
    </row>
    <row r="636" spans="1:23" ht="12.75" x14ac:dyDescent="0.2">
      <c r="A636" s="21"/>
      <c r="B636" s="22"/>
      <c r="C636" s="22"/>
      <c r="D636" s="23"/>
      <c r="G636" s="24"/>
      <c r="H636" s="24"/>
      <c r="I636" s="24"/>
      <c r="J636" s="24"/>
      <c r="K636" s="24"/>
      <c r="M636" s="24"/>
      <c r="W636" s="24"/>
    </row>
    <row r="637" spans="1:23" ht="12.75" x14ac:dyDescent="0.2">
      <c r="A637" s="21"/>
      <c r="B637" s="22"/>
      <c r="C637" s="22"/>
      <c r="D637" s="23"/>
      <c r="G637" s="24"/>
      <c r="H637" s="24"/>
      <c r="I637" s="24"/>
      <c r="J637" s="24"/>
      <c r="K637" s="24"/>
      <c r="M637" s="24"/>
      <c r="W637" s="24"/>
    </row>
    <row r="638" spans="1:23" ht="12.75" x14ac:dyDescent="0.2">
      <c r="A638" s="21"/>
      <c r="B638" s="22"/>
      <c r="C638" s="22"/>
      <c r="D638" s="23"/>
      <c r="G638" s="24"/>
      <c r="H638" s="24"/>
      <c r="I638" s="24"/>
      <c r="J638" s="24"/>
      <c r="K638" s="24"/>
      <c r="M638" s="24"/>
      <c r="W638" s="24"/>
    </row>
    <row r="639" spans="1:23" ht="12.75" x14ac:dyDescent="0.2">
      <c r="A639" s="21"/>
      <c r="B639" s="22"/>
      <c r="C639" s="22"/>
      <c r="D639" s="23"/>
      <c r="G639" s="24"/>
      <c r="H639" s="24"/>
      <c r="I639" s="24"/>
      <c r="J639" s="24"/>
      <c r="K639" s="24"/>
      <c r="M639" s="24"/>
      <c r="W639" s="24"/>
    </row>
    <row r="640" spans="1:23" ht="12.75" x14ac:dyDescent="0.2">
      <c r="A640" s="21"/>
      <c r="B640" s="22"/>
      <c r="C640" s="22"/>
      <c r="D640" s="23"/>
      <c r="G640" s="24"/>
      <c r="H640" s="24"/>
      <c r="I640" s="24"/>
      <c r="J640" s="24"/>
      <c r="K640" s="24"/>
      <c r="M640" s="24"/>
      <c r="W640" s="24"/>
    </row>
    <row r="641" spans="1:23" ht="12.75" x14ac:dyDescent="0.2">
      <c r="A641" s="21"/>
      <c r="B641" s="22"/>
      <c r="C641" s="22"/>
      <c r="D641" s="23"/>
      <c r="G641" s="24"/>
      <c r="H641" s="24"/>
      <c r="I641" s="24"/>
      <c r="J641" s="24"/>
      <c r="K641" s="24"/>
      <c r="M641" s="24"/>
      <c r="W641" s="24"/>
    </row>
    <row r="642" spans="1:23" ht="12.75" x14ac:dyDescent="0.2">
      <c r="A642" s="21"/>
      <c r="B642" s="22"/>
      <c r="C642" s="22"/>
      <c r="D642" s="23"/>
      <c r="G642" s="24"/>
      <c r="H642" s="24"/>
      <c r="I642" s="24"/>
      <c r="J642" s="24"/>
      <c r="K642" s="24"/>
      <c r="M642" s="24"/>
      <c r="W642" s="24"/>
    </row>
    <row r="643" spans="1:23" ht="12.75" x14ac:dyDescent="0.2">
      <c r="A643" s="21"/>
      <c r="B643" s="22"/>
      <c r="C643" s="22"/>
      <c r="D643" s="23"/>
      <c r="G643" s="24"/>
      <c r="H643" s="24"/>
      <c r="I643" s="24"/>
      <c r="J643" s="24"/>
      <c r="K643" s="24"/>
      <c r="M643" s="24"/>
      <c r="W643" s="24"/>
    </row>
    <row r="644" spans="1:23" ht="12.75" x14ac:dyDescent="0.2">
      <c r="A644" s="21"/>
      <c r="B644" s="22"/>
      <c r="C644" s="22"/>
      <c r="D644" s="23"/>
      <c r="G644" s="24"/>
      <c r="H644" s="24"/>
      <c r="I644" s="24"/>
      <c r="J644" s="24"/>
      <c r="K644" s="24"/>
      <c r="M644" s="24"/>
      <c r="W644" s="24"/>
    </row>
    <row r="645" spans="1:23" ht="12.75" x14ac:dyDescent="0.2">
      <c r="A645" s="21"/>
      <c r="B645" s="22"/>
      <c r="C645" s="22"/>
      <c r="D645" s="23"/>
      <c r="G645" s="24"/>
      <c r="H645" s="24"/>
      <c r="I645" s="24"/>
      <c r="J645" s="24"/>
      <c r="K645" s="24"/>
      <c r="M645" s="24"/>
      <c r="W645" s="24"/>
    </row>
    <row r="646" spans="1:23" ht="12.75" x14ac:dyDescent="0.2">
      <c r="A646" s="21"/>
      <c r="B646" s="22"/>
      <c r="C646" s="22"/>
      <c r="D646" s="23"/>
      <c r="G646" s="24"/>
      <c r="H646" s="24"/>
      <c r="I646" s="24"/>
      <c r="J646" s="24"/>
      <c r="K646" s="24"/>
      <c r="M646" s="24"/>
      <c r="W646" s="24"/>
    </row>
    <row r="647" spans="1:23" ht="12.75" x14ac:dyDescent="0.2">
      <c r="A647" s="21"/>
      <c r="B647" s="22"/>
      <c r="C647" s="22"/>
      <c r="D647" s="23"/>
      <c r="G647" s="24"/>
      <c r="H647" s="24"/>
      <c r="I647" s="24"/>
      <c r="J647" s="24"/>
      <c r="K647" s="24"/>
      <c r="M647" s="24"/>
      <c r="W647" s="24"/>
    </row>
    <row r="648" spans="1:23" ht="12.75" x14ac:dyDescent="0.2">
      <c r="A648" s="21"/>
      <c r="B648" s="22"/>
      <c r="C648" s="22"/>
      <c r="D648" s="23"/>
      <c r="G648" s="24"/>
      <c r="H648" s="24"/>
      <c r="I648" s="24"/>
      <c r="J648" s="24"/>
      <c r="K648" s="24"/>
      <c r="M648" s="24"/>
      <c r="W648" s="24"/>
    </row>
    <row r="649" spans="1:23" ht="12.75" x14ac:dyDescent="0.2">
      <c r="A649" s="21"/>
      <c r="B649" s="22"/>
      <c r="C649" s="22"/>
      <c r="D649" s="23"/>
      <c r="G649" s="24"/>
      <c r="H649" s="24"/>
      <c r="I649" s="24"/>
      <c r="J649" s="24"/>
      <c r="K649" s="24"/>
      <c r="M649" s="24"/>
      <c r="W649" s="24"/>
    </row>
    <row r="650" spans="1:23" ht="12.75" x14ac:dyDescent="0.2">
      <c r="A650" s="21"/>
      <c r="B650" s="22"/>
      <c r="C650" s="22"/>
      <c r="D650" s="23"/>
      <c r="G650" s="24"/>
      <c r="H650" s="24"/>
      <c r="I650" s="24"/>
      <c r="J650" s="24"/>
      <c r="K650" s="24"/>
      <c r="M650" s="24"/>
      <c r="W650" s="24"/>
    </row>
    <row r="651" spans="1:23" ht="12.75" x14ac:dyDescent="0.2">
      <c r="A651" s="21"/>
      <c r="B651" s="22"/>
      <c r="C651" s="22"/>
      <c r="D651" s="23"/>
      <c r="G651" s="24"/>
      <c r="H651" s="24"/>
      <c r="I651" s="24"/>
      <c r="J651" s="24"/>
      <c r="K651" s="24"/>
      <c r="M651" s="24"/>
      <c r="W651" s="24"/>
    </row>
    <row r="652" spans="1:23" ht="12.75" x14ac:dyDescent="0.2">
      <c r="A652" s="21"/>
      <c r="B652" s="22"/>
      <c r="C652" s="22"/>
      <c r="D652" s="23"/>
      <c r="G652" s="24"/>
      <c r="H652" s="24"/>
      <c r="I652" s="24"/>
      <c r="J652" s="24"/>
      <c r="K652" s="24"/>
      <c r="M652" s="24"/>
      <c r="W652" s="24"/>
    </row>
    <row r="653" spans="1:23" ht="12.75" x14ac:dyDescent="0.2">
      <c r="A653" s="21"/>
      <c r="B653" s="22"/>
      <c r="C653" s="22"/>
      <c r="D653" s="23"/>
      <c r="G653" s="24"/>
      <c r="H653" s="24"/>
      <c r="I653" s="24"/>
      <c r="J653" s="24"/>
      <c r="K653" s="24"/>
      <c r="M653" s="24"/>
      <c r="W653" s="24"/>
    </row>
    <row r="654" spans="1:23" ht="12.75" x14ac:dyDescent="0.2">
      <c r="A654" s="21"/>
      <c r="B654" s="22"/>
      <c r="C654" s="22"/>
      <c r="D654" s="23"/>
      <c r="G654" s="24"/>
      <c r="H654" s="24"/>
      <c r="I654" s="24"/>
      <c r="J654" s="24"/>
      <c r="K654" s="24"/>
      <c r="M654" s="24"/>
      <c r="W654" s="24"/>
    </row>
    <row r="655" spans="1:23" ht="12.75" x14ac:dyDescent="0.2">
      <c r="A655" s="21"/>
      <c r="B655" s="22"/>
      <c r="C655" s="22"/>
      <c r="D655" s="23"/>
      <c r="G655" s="24"/>
      <c r="H655" s="24"/>
      <c r="I655" s="24"/>
      <c r="J655" s="24"/>
      <c r="K655" s="24"/>
      <c r="M655" s="24"/>
      <c r="W655" s="24"/>
    </row>
    <row r="656" spans="1:23" ht="12.75" x14ac:dyDescent="0.2">
      <c r="A656" s="21"/>
      <c r="B656" s="22"/>
      <c r="C656" s="22"/>
      <c r="D656" s="23"/>
      <c r="G656" s="24"/>
      <c r="H656" s="24"/>
      <c r="I656" s="24"/>
      <c r="J656" s="24"/>
      <c r="K656" s="24"/>
      <c r="M656" s="24"/>
      <c r="W656" s="24"/>
    </row>
    <row r="657" spans="1:23" ht="12.75" x14ac:dyDescent="0.2">
      <c r="A657" s="21"/>
      <c r="B657" s="22"/>
      <c r="C657" s="22"/>
      <c r="D657" s="23"/>
      <c r="G657" s="24"/>
      <c r="H657" s="24"/>
      <c r="I657" s="24"/>
      <c r="J657" s="24"/>
      <c r="K657" s="24"/>
      <c r="M657" s="24"/>
      <c r="W657" s="24"/>
    </row>
    <row r="658" spans="1:23" ht="12.75" x14ac:dyDescent="0.2">
      <c r="A658" s="21"/>
      <c r="B658" s="22"/>
      <c r="C658" s="22"/>
      <c r="D658" s="23"/>
      <c r="G658" s="24"/>
      <c r="H658" s="24"/>
      <c r="I658" s="24"/>
      <c r="J658" s="24"/>
      <c r="K658" s="24"/>
      <c r="M658" s="24"/>
      <c r="W658" s="24"/>
    </row>
    <row r="659" spans="1:23" ht="12.75" x14ac:dyDescent="0.2">
      <c r="A659" s="21"/>
      <c r="B659" s="22"/>
      <c r="C659" s="22"/>
      <c r="D659" s="23"/>
      <c r="G659" s="24"/>
      <c r="H659" s="24"/>
      <c r="I659" s="24"/>
      <c r="J659" s="24"/>
      <c r="K659" s="24"/>
      <c r="M659" s="24"/>
      <c r="W659" s="24"/>
    </row>
    <row r="660" spans="1:23" ht="12.75" x14ac:dyDescent="0.2">
      <c r="A660" s="21"/>
      <c r="B660" s="22"/>
      <c r="C660" s="22"/>
      <c r="D660" s="23"/>
      <c r="G660" s="24"/>
      <c r="H660" s="24"/>
      <c r="I660" s="24"/>
      <c r="J660" s="24"/>
      <c r="K660" s="24"/>
      <c r="M660" s="24"/>
      <c r="W660" s="24"/>
    </row>
    <row r="661" spans="1:23" ht="12.75" x14ac:dyDescent="0.2">
      <c r="A661" s="21"/>
      <c r="B661" s="22"/>
      <c r="C661" s="22"/>
      <c r="D661" s="23"/>
      <c r="G661" s="24"/>
      <c r="H661" s="24"/>
      <c r="I661" s="24"/>
      <c r="J661" s="24"/>
      <c r="K661" s="24"/>
      <c r="M661" s="24"/>
      <c r="W661" s="24"/>
    </row>
    <row r="662" spans="1:23" ht="12.75" x14ac:dyDescent="0.2">
      <c r="A662" s="21"/>
      <c r="B662" s="22"/>
      <c r="C662" s="22"/>
      <c r="D662" s="23"/>
      <c r="G662" s="24"/>
      <c r="H662" s="24"/>
      <c r="I662" s="24"/>
      <c r="J662" s="24"/>
      <c r="K662" s="24"/>
      <c r="M662" s="24"/>
      <c r="W662" s="24"/>
    </row>
    <row r="663" spans="1:23" ht="12.75" x14ac:dyDescent="0.2">
      <c r="A663" s="21"/>
      <c r="B663" s="22"/>
      <c r="C663" s="22"/>
      <c r="D663" s="23"/>
      <c r="G663" s="24"/>
      <c r="H663" s="24"/>
      <c r="I663" s="24"/>
      <c r="J663" s="24"/>
      <c r="K663" s="24"/>
      <c r="M663" s="24"/>
      <c r="W663" s="24"/>
    </row>
    <row r="664" spans="1:23" ht="12.75" x14ac:dyDescent="0.2">
      <c r="A664" s="21"/>
      <c r="B664" s="22"/>
      <c r="C664" s="22"/>
      <c r="D664" s="23"/>
      <c r="G664" s="24"/>
      <c r="H664" s="24"/>
      <c r="I664" s="24"/>
      <c r="J664" s="24"/>
      <c r="K664" s="24"/>
      <c r="M664" s="24"/>
      <c r="W664" s="24"/>
    </row>
    <row r="665" spans="1:23" ht="12.75" x14ac:dyDescent="0.2">
      <c r="A665" s="21"/>
      <c r="B665" s="22"/>
      <c r="C665" s="22"/>
      <c r="D665" s="23"/>
      <c r="G665" s="24"/>
      <c r="H665" s="24"/>
      <c r="I665" s="24"/>
      <c r="J665" s="24"/>
      <c r="K665" s="24"/>
      <c r="M665" s="24"/>
      <c r="W665" s="24"/>
    </row>
    <row r="666" spans="1:23" ht="12.75" x14ac:dyDescent="0.2">
      <c r="A666" s="21"/>
      <c r="B666" s="22"/>
      <c r="C666" s="22"/>
      <c r="D666" s="23"/>
      <c r="G666" s="24"/>
      <c r="H666" s="24"/>
      <c r="I666" s="24"/>
      <c r="J666" s="24"/>
      <c r="K666" s="24"/>
      <c r="M666" s="24"/>
      <c r="W666" s="24"/>
    </row>
    <row r="667" spans="1:23" ht="12.75" x14ac:dyDescent="0.2">
      <c r="A667" s="21"/>
      <c r="B667" s="22"/>
      <c r="C667" s="22"/>
      <c r="D667" s="23"/>
      <c r="G667" s="24"/>
      <c r="H667" s="24"/>
      <c r="I667" s="24"/>
      <c r="J667" s="24"/>
      <c r="K667" s="24"/>
      <c r="M667" s="24"/>
      <c r="W667" s="24"/>
    </row>
    <row r="668" spans="1:23" ht="12.75" x14ac:dyDescent="0.2">
      <c r="A668" s="21"/>
      <c r="B668" s="22"/>
      <c r="C668" s="22"/>
      <c r="D668" s="23"/>
      <c r="G668" s="24"/>
      <c r="H668" s="24"/>
      <c r="I668" s="24"/>
      <c r="J668" s="24"/>
      <c r="K668" s="24"/>
      <c r="M668" s="24"/>
      <c r="W668" s="24"/>
    </row>
    <row r="669" spans="1:23" ht="12.75" x14ac:dyDescent="0.2">
      <c r="A669" s="21"/>
      <c r="B669" s="22"/>
      <c r="C669" s="22"/>
      <c r="D669" s="23"/>
      <c r="G669" s="24"/>
      <c r="H669" s="24"/>
      <c r="I669" s="24"/>
      <c r="J669" s="24"/>
      <c r="K669" s="24"/>
      <c r="M669" s="24"/>
      <c r="W669" s="24"/>
    </row>
    <row r="670" spans="1:23" ht="12.75" x14ac:dyDescent="0.2">
      <c r="A670" s="21"/>
      <c r="B670" s="22"/>
      <c r="C670" s="22"/>
      <c r="D670" s="23"/>
      <c r="G670" s="24"/>
      <c r="H670" s="24"/>
      <c r="I670" s="24"/>
      <c r="J670" s="24"/>
      <c r="K670" s="24"/>
      <c r="M670" s="24"/>
      <c r="W670" s="24"/>
    </row>
    <row r="671" spans="1:23" ht="12.75" x14ac:dyDescent="0.2">
      <c r="A671" s="21"/>
      <c r="B671" s="22"/>
      <c r="C671" s="22"/>
      <c r="D671" s="23"/>
      <c r="G671" s="24"/>
      <c r="H671" s="24"/>
      <c r="I671" s="24"/>
      <c r="J671" s="24"/>
      <c r="K671" s="24"/>
      <c r="M671" s="24"/>
      <c r="W671" s="24"/>
    </row>
    <row r="672" spans="1:23" ht="12.75" x14ac:dyDescent="0.2">
      <c r="A672" s="21"/>
      <c r="B672" s="22"/>
      <c r="C672" s="22"/>
      <c r="D672" s="23"/>
      <c r="G672" s="24"/>
      <c r="H672" s="24"/>
      <c r="I672" s="24"/>
      <c r="J672" s="24"/>
      <c r="K672" s="24"/>
      <c r="M672" s="24"/>
      <c r="W672" s="24"/>
    </row>
    <row r="673" spans="1:23" ht="12.75" x14ac:dyDescent="0.2">
      <c r="A673" s="21"/>
      <c r="B673" s="22"/>
      <c r="C673" s="22"/>
      <c r="D673" s="23"/>
      <c r="G673" s="24"/>
      <c r="H673" s="24"/>
      <c r="I673" s="24"/>
      <c r="J673" s="24"/>
      <c r="K673" s="24"/>
      <c r="M673" s="24"/>
      <c r="W673" s="24"/>
    </row>
    <row r="674" spans="1:23" ht="12.75" x14ac:dyDescent="0.2">
      <c r="A674" s="21"/>
      <c r="B674" s="22"/>
      <c r="C674" s="22"/>
      <c r="D674" s="23"/>
      <c r="G674" s="24"/>
      <c r="H674" s="24"/>
      <c r="I674" s="24"/>
      <c r="J674" s="24"/>
      <c r="K674" s="24"/>
      <c r="M674" s="24"/>
      <c r="W674" s="24"/>
    </row>
    <row r="675" spans="1:23" ht="12.75" x14ac:dyDescent="0.2">
      <c r="A675" s="21"/>
      <c r="B675" s="22"/>
      <c r="C675" s="22"/>
      <c r="D675" s="23"/>
      <c r="G675" s="24"/>
      <c r="H675" s="24"/>
      <c r="I675" s="24"/>
      <c r="J675" s="24"/>
      <c r="K675" s="24"/>
      <c r="M675" s="24"/>
      <c r="W675" s="24"/>
    </row>
    <row r="676" spans="1:23" ht="12.75" x14ac:dyDescent="0.2">
      <c r="A676" s="21"/>
      <c r="B676" s="22"/>
      <c r="C676" s="22"/>
      <c r="D676" s="23"/>
      <c r="G676" s="24"/>
      <c r="H676" s="24"/>
      <c r="I676" s="24"/>
      <c r="J676" s="24"/>
      <c r="K676" s="24"/>
      <c r="M676" s="24"/>
      <c r="W676" s="24"/>
    </row>
    <row r="677" spans="1:23" ht="12.75" x14ac:dyDescent="0.2">
      <c r="A677" s="21"/>
      <c r="B677" s="22"/>
      <c r="C677" s="22"/>
      <c r="D677" s="23"/>
      <c r="G677" s="24"/>
      <c r="H677" s="24"/>
      <c r="I677" s="24"/>
      <c r="J677" s="24"/>
      <c r="K677" s="24"/>
      <c r="M677" s="24"/>
      <c r="W677" s="24"/>
    </row>
    <row r="678" spans="1:23" ht="12.75" x14ac:dyDescent="0.2">
      <c r="A678" s="21"/>
      <c r="B678" s="22"/>
      <c r="C678" s="22"/>
      <c r="D678" s="23"/>
      <c r="G678" s="24"/>
      <c r="H678" s="24"/>
      <c r="I678" s="24"/>
      <c r="J678" s="24"/>
      <c r="K678" s="24"/>
      <c r="M678" s="24"/>
      <c r="W678" s="24"/>
    </row>
    <row r="679" spans="1:23" ht="12.75" x14ac:dyDescent="0.2">
      <c r="A679" s="21"/>
      <c r="B679" s="22"/>
      <c r="C679" s="22"/>
      <c r="D679" s="23"/>
      <c r="G679" s="24"/>
      <c r="H679" s="24"/>
      <c r="I679" s="24"/>
      <c r="J679" s="24"/>
      <c r="K679" s="24"/>
      <c r="M679" s="24"/>
      <c r="W679" s="24"/>
    </row>
    <row r="680" spans="1:23" ht="12.75" x14ac:dyDescent="0.2">
      <c r="A680" s="21"/>
      <c r="B680" s="22"/>
      <c r="C680" s="22"/>
      <c r="D680" s="23"/>
      <c r="G680" s="24"/>
      <c r="H680" s="24"/>
      <c r="I680" s="24"/>
      <c r="J680" s="24"/>
      <c r="K680" s="24"/>
      <c r="M680" s="24"/>
      <c r="W680" s="24"/>
    </row>
    <row r="681" spans="1:23" ht="12.75" x14ac:dyDescent="0.2">
      <c r="A681" s="21"/>
      <c r="B681" s="22"/>
      <c r="C681" s="22"/>
      <c r="D681" s="23"/>
      <c r="G681" s="24"/>
      <c r="H681" s="24"/>
      <c r="I681" s="24"/>
      <c r="J681" s="24"/>
      <c r="K681" s="24"/>
      <c r="M681" s="24"/>
      <c r="W681" s="24"/>
    </row>
    <row r="682" spans="1:23" ht="12.75" x14ac:dyDescent="0.2">
      <c r="A682" s="21"/>
      <c r="B682" s="22"/>
      <c r="C682" s="22"/>
      <c r="D682" s="23"/>
      <c r="G682" s="24"/>
      <c r="H682" s="24"/>
      <c r="I682" s="24"/>
      <c r="J682" s="24"/>
      <c r="K682" s="24"/>
      <c r="M682" s="24"/>
      <c r="W682" s="24"/>
    </row>
    <row r="683" spans="1:23" ht="12.75" x14ac:dyDescent="0.2">
      <c r="A683" s="21"/>
      <c r="B683" s="22"/>
      <c r="C683" s="22"/>
      <c r="D683" s="23"/>
      <c r="G683" s="24"/>
      <c r="H683" s="24"/>
      <c r="I683" s="24"/>
      <c r="J683" s="24"/>
      <c r="K683" s="24"/>
      <c r="M683" s="24"/>
      <c r="W683" s="24"/>
    </row>
    <row r="684" spans="1:23" ht="12.75" x14ac:dyDescent="0.2">
      <c r="A684" s="21"/>
      <c r="B684" s="22"/>
      <c r="C684" s="22"/>
      <c r="D684" s="23"/>
      <c r="G684" s="24"/>
      <c r="H684" s="24"/>
      <c r="I684" s="24"/>
      <c r="J684" s="24"/>
      <c r="K684" s="24"/>
      <c r="M684" s="24"/>
      <c r="W684" s="24"/>
    </row>
    <row r="685" spans="1:23" ht="12.75" x14ac:dyDescent="0.2">
      <c r="A685" s="21"/>
      <c r="B685" s="22"/>
      <c r="C685" s="22"/>
      <c r="D685" s="23"/>
      <c r="G685" s="24"/>
      <c r="H685" s="24"/>
      <c r="I685" s="24"/>
      <c r="J685" s="24"/>
      <c r="K685" s="24"/>
      <c r="M685" s="24"/>
      <c r="W685" s="24"/>
    </row>
    <row r="686" spans="1:23" ht="12.75" x14ac:dyDescent="0.2">
      <c r="A686" s="21"/>
      <c r="B686" s="22"/>
      <c r="C686" s="22"/>
      <c r="D686" s="23"/>
      <c r="G686" s="24"/>
      <c r="H686" s="24"/>
      <c r="I686" s="24"/>
      <c r="J686" s="24"/>
      <c r="K686" s="24"/>
      <c r="M686" s="24"/>
      <c r="W686" s="24"/>
    </row>
    <row r="687" spans="1:23" ht="12.75" x14ac:dyDescent="0.2">
      <c r="A687" s="21"/>
      <c r="B687" s="22"/>
      <c r="C687" s="22"/>
      <c r="D687" s="23"/>
      <c r="G687" s="24"/>
      <c r="H687" s="24"/>
      <c r="I687" s="24"/>
      <c r="J687" s="24"/>
      <c r="K687" s="24"/>
      <c r="M687" s="24"/>
      <c r="W687" s="24"/>
    </row>
    <row r="688" spans="1:23" ht="12.75" x14ac:dyDescent="0.2">
      <c r="A688" s="21"/>
      <c r="B688" s="22"/>
      <c r="C688" s="22"/>
      <c r="D688" s="23"/>
      <c r="G688" s="24"/>
      <c r="H688" s="24"/>
      <c r="I688" s="24"/>
      <c r="J688" s="24"/>
      <c r="K688" s="24"/>
      <c r="M688" s="24"/>
      <c r="W688" s="24"/>
    </row>
    <row r="689" spans="1:23" ht="12.75" x14ac:dyDescent="0.2">
      <c r="A689" s="21"/>
      <c r="B689" s="22"/>
      <c r="C689" s="22"/>
      <c r="D689" s="23"/>
      <c r="G689" s="24"/>
      <c r="H689" s="24"/>
      <c r="I689" s="24"/>
      <c r="J689" s="24"/>
      <c r="K689" s="24"/>
      <c r="M689" s="24"/>
      <c r="W689" s="24"/>
    </row>
    <row r="690" spans="1:23" ht="12.75" x14ac:dyDescent="0.2">
      <c r="A690" s="21"/>
      <c r="B690" s="22"/>
      <c r="C690" s="22"/>
      <c r="D690" s="23"/>
      <c r="G690" s="24"/>
      <c r="H690" s="24"/>
      <c r="I690" s="24"/>
      <c r="J690" s="24"/>
      <c r="K690" s="24"/>
      <c r="M690" s="24"/>
      <c r="W690" s="24"/>
    </row>
    <row r="691" spans="1:23" ht="12.75" x14ac:dyDescent="0.2">
      <c r="A691" s="21"/>
      <c r="B691" s="22"/>
      <c r="C691" s="22"/>
      <c r="D691" s="23"/>
      <c r="G691" s="24"/>
      <c r="H691" s="24"/>
      <c r="I691" s="24"/>
      <c r="J691" s="24"/>
      <c r="K691" s="24"/>
      <c r="M691" s="24"/>
      <c r="W691" s="24"/>
    </row>
    <row r="692" spans="1:23" ht="12.75" x14ac:dyDescent="0.2">
      <c r="A692" s="21"/>
      <c r="B692" s="22"/>
      <c r="C692" s="22"/>
      <c r="D692" s="23"/>
      <c r="G692" s="24"/>
      <c r="H692" s="24"/>
      <c r="I692" s="24"/>
      <c r="J692" s="24"/>
      <c r="K692" s="24"/>
      <c r="M692" s="24"/>
      <c r="W692" s="24"/>
    </row>
    <row r="693" spans="1:23" ht="12.75" x14ac:dyDescent="0.2">
      <c r="A693" s="21"/>
      <c r="B693" s="22"/>
      <c r="C693" s="22"/>
      <c r="D693" s="23"/>
      <c r="G693" s="24"/>
      <c r="H693" s="24"/>
      <c r="I693" s="24"/>
      <c r="J693" s="24"/>
      <c r="K693" s="24"/>
      <c r="M693" s="24"/>
      <c r="W693" s="24"/>
    </row>
    <row r="694" spans="1:23" ht="12.75" x14ac:dyDescent="0.2">
      <c r="A694" s="21"/>
      <c r="B694" s="22"/>
      <c r="C694" s="22"/>
      <c r="D694" s="23"/>
      <c r="G694" s="24"/>
      <c r="H694" s="24"/>
      <c r="I694" s="24"/>
      <c r="J694" s="24"/>
      <c r="K694" s="24"/>
      <c r="M694" s="24"/>
      <c r="W694" s="24"/>
    </row>
    <row r="695" spans="1:23" ht="12.75" x14ac:dyDescent="0.2">
      <c r="A695" s="21"/>
      <c r="B695" s="22"/>
      <c r="C695" s="22"/>
      <c r="D695" s="23"/>
      <c r="G695" s="24"/>
      <c r="H695" s="24"/>
      <c r="I695" s="24"/>
      <c r="J695" s="24"/>
      <c r="K695" s="24"/>
      <c r="M695" s="24"/>
      <c r="W695" s="24"/>
    </row>
    <row r="696" spans="1:23" ht="12.75" x14ac:dyDescent="0.2">
      <c r="A696" s="21"/>
      <c r="B696" s="22"/>
      <c r="C696" s="22"/>
      <c r="D696" s="23"/>
      <c r="G696" s="24"/>
      <c r="H696" s="24"/>
      <c r="I696" s="24"/>
      <c r="J696" s="24"/>
      <c r="K696" s="24"/>
      <c r="M696" s="24"/>
      <c r="W696" s="24"/>
    </row>
    <row r="697" spans="1:23" ht="12.75" x14ac:dyDescent="0.2">
      <c r="A697" s="21"/>
      <c r="B697" s="22"/>
      <c r="C697" s="22"/>
      <c r="D697" s="23"/>
      <c r="G697" s="24"/>
      <c r="H697" s="24"/>
      <c r="I697" s="24"/>
      <c r="J697" s="24"/>
      <c r="K697" s="24"/>
      <c r="M697" s="24"/>
      <c r="W697" s="24"/>
    </row>
    <row r="698" spans="1:23" ht="12.75" x14ac:dyDescent="0.2">
      <c r="A698" s="21"/>
      <c r="B698" s="22"/>
      <c r="C698" s="22"/>
      <c r="D698" s="23"/>
      <c r="G698" s="24"/>
      <c r="H698" s="24"/>
      <c r="I698" s="24"/>
      <c r="J698" s="24"/>
      <c r="K698" s="24"/>
      <c r="M698" s="24"/>
      <c r="W698" s="24"/>
    </row>
    <row r="699" spans="1:23" ht="12.75" x14ac:dyDescent="0.2">
      <c r="A699" s="21"/>
      <c r="B699" s="22"/>
      <c r="C699" s="22"/>
      <c r="D699" s="23"/>
      <c r="G699" s="24"/>
      <c r="H699" s="24"/>
      <c r="I699" s="24"/>
      <c r="J699" s="24"/>
      <c r="K699" s="24"/>
      <c r="M699" s="24"/>
      <c r="W699" s="24"/>
    </row>
    <row r="700" spans="1:23" ht="12.75" x14ac:dyDescent="0.2">
      <c r="A700" s="21"/>
      <c r="B700" s="22"/>
      <c r="C700" s="22"/>
      <c r="D700" s="23"/>
      <c r="G700" s="24"/>
      <c r="H700" s="24"/>
      <c r="I700" s="24"/>
      <c r="J700" s="24"/>
      <c r="K700" s="24"/>
      <c r="M700" s="24"/>
      <c r="W700" s="24"/>
    </row>
    <row r="701" spans="1:23" ht="12.75" x14ac:dyDescent="0.2">
      <c r="A701" s="21"/>
      <c r="B701" s="22"/>
      <c r="C701" s="22"/>
      <c r="D701" s="23"/>
      <c r="G701" s="24"/>
      <c r="H701" s="24"/>
      <c r="I701" s="24"/>
      <c r="J701" s="24"/>
      <c r="K701" s="24"/>
      <c r="M701" s="24"/>
      <c r="W701" s="24"/>
    </row>
    <row r="702" spans="1:23" ht="12.75" x14ac:dyDescent="0.2">
      <c r="A702" s="21"/>
      <c r="B702" s="22"/>
      <c r="C702" s="22"/>
      <c r="D702" s="23"/>
      <c r="G702" s="24"/>
      <c r="H702" s="24"/>
      <c r="I702" s="24"/>
      <c r="J702" s="24"/>
      <c r="K702" s="24"/>
      <c r="M702" s="24"/>
      <c r="W702" s="24"/>
    </row>
    <row r="703" spans="1:23" ht="12.75" x14ac:dyDescent="0.2">
      <c r="A703" s="21"/>
      <c r="B703" s="22"/>
      <c r="C703" s="22"/>
      <c r="D703" s="23"/>
      <c r="G703" s="24"/>
      <c r="H703" s="24"/>
      <c r="I703" s="24"/>
      <c r="J703" s="24"/>
      <c r="K703" s="24"/>
      <c r="M703" s="24"/>
      <c r="W703" s="24"/>
    </row>
    <row r="704" spans="1:23" ht="12.75" x14ac:dyDescent="0.2">
      <c r="A704" s="21"/>
      <c r="B704" s="22"/>
      <c r="C704" s="22"/>
      <c r="D704" s="23"/>
      <c r="G704" s="24"/>
      <c r="H704" s="24"/>
      <c r="I704" s="24"/>
      <c r="J704" s="24"/>
      <c r="K704" s="24"/>
      <c r="M704" s="24"/>
      <c r="W704" s="24"/>
    </row>
    <row r="705" spans="1:23" ht="12.75" x14ac:dyDescent="0.2">
      <c r="A705" s="21"/>
      <c r="B705" s="22"/>
      <c r="C705" s="22"/>
      <c r="D705" s="23"/>
      <c r="G705" s="24"/>
      <c r="H705" s="24"/>
      <c r="I705" s="24"/>
      <c r="J705" s="24"/>
      <c r="K705" s="24"/>
      <c r="M705" s="24"/>
      <c r="W705" s="24"/>
    </row>
    <row r="706" spans="1:23" ht="12.75" x14ac:dyDescent="0.2">
      <c r="A706" s="21"/>
      <c r="B706" s="22"/>
      <c r="C706" s="22"/>
      <c r="D706" s="23"/>
      <c r="G706" s="24"/>
      <c r="H706" s="24"/>
      <c r="I706" s="24"/>
      <c r="J706" s="24"/>
      <c r="K706" s="24"/>
      <c r="M706" s="24"/>
      <c r="W706" s="24"/>
    </row>
    <row r="707" spans="1:23" ht="12.75" x14ac:dyDescent="0.2">
      <c r="A707" s="21"/>
      <c r="B707" s="22"/>
      <c r="C707" s="22"/>
      <c r="D707" s="23"/>
      <c r="G707" s="24"/>
      <c r="H707" s="24"/>
      <c r="I707" s="24"/>
      <c r="J707" s="24"/>
      <c r="K707" s="24"/>
      <c r="M707" s="24"/>
      <c r="W707" s="24"/>
    </row>
    <row r="708" spans="1:23" ht="12.75" x14ac:dyDescent="0.2">
      <c r="A708" s="21"/>
      <c r="B708" s="22"/>
      <c r="C708" s="22"/>
      <c r="D708" s="23"/>
      <c r="G708" s="24"/>
      <c r="H708" s="24"/>
      <c r="I708" s="24"/>
      <c r="J708" s="24"/>
      <c r="K708" s="24"/>
      <c r="M708" s="24"/>
      <c r="W708" s="24"/>
    </row>
    <row r="709" spans="1:23" ht="12.75" x14ac:dyDescent="0.2">
      <c r="A709" s="21"/>
      <c r="B709" s="22"/>
      <c r="C709" s="22"/>
      <c r="D709" s="23"/>
      <c r="G709" s="24"/>
      <c r="H709" s="24"/>
      <c r="I709" s="24"/>
      <c r="J709" s="24"/>
      <c r="K709" s="24"/>
      <c r="M709" s="24"/>
      <c r="W709" s="24"/>
    </row>
    <row r="710" spans="1:23" ht="12.75" x14ac:dyDescent="0.2">
      <c r="A710" s="21"/>
      <c r="B710" s="22"/>
      <c r="C710" s="22"/>
      <c r="D710" s="23"/>
      <c r="G710" s="24"/>
      <c r="H710" s="24"/>
      <c r="I710" s="24"/>
      <c r="J710" s="24"/>
      <c r="K710" s="24"/>
      <c r="M710" s="24"/>
      <c r="W710" s="24"/>
    </row>
    <row r="711" spans="1:23" ht="12.75" x14ac:dyDescent="0.2">
      <c r="A711" s="21"/>
      <c r="B711" s="22"/>
      <c r="C711" s="22"/>
      <c r="D711" s="23"/>
      <c r="G711" s="24"/>
      <c r="H711" s="24"/>
      <c r="I711" s="24"/>
      <c r="J711" s="24"/>
      <c r="K711" s="24"/>
      <c r="M711" s="24"/>
      <c r="W711" s="24"/>
    </row>
    <row r="712" spans="1:23" ht="12.75" x14ac:dyDescent="0.2">
      <c r="A712" s="21"/>
      <c r="B712" s="22"/>
      <c r="C712" s="22"/>
      <c r="D712" s="23"/>
      <c r="G712" s="24"/>
      <c r="H712" s="24"/>
      <c r="I712" s="24"/>
      <c r="J712" s="24"/>
      <c r="K712" s="24"/>
      <c r="M712" s="24"/>
      <c r="W712" s="24"/>
    </row>
    <row r="713" spans="1:23" ht="12.75" x14ac:dyDescent="0.2">
      <c r="A713" s="21"/>
      <c r="B713" s="22"/>
      <c r="C713" s="22"/>
      <c r="D713" s="23"/>
      <c r="G713" s="24"/>
      <c r="H713" s="24"/>
      <c r="I713" s="24"/>
      <c r="J713" s="24"/>
      <c r="K713" s="24"/>
      <c r="M713" s="24"/>
      <c r="W713" s="24"/>
    </row>
    <row r="714" spans="1:23" ht="12.75" x14ac:dyDescent="0.2">
      <c r="A714" s="21"/>
      <c r="B714" s="22"/>
      <c r="C714" s="22"/>
      <c r="D714" s="23"/>
      <c r="G714" s="24"/>
      <c r="H714" s="24"/>
      <c r="I714" s="24"/>
      <c r="J714" s="24"/>
      <c r="K714" s="24"/>
      <c r="M714" s="24"/>
      <c r="W714" s="24"/>
    </row>
    <row r="715" spans="1:23" ht="12.75" x14ac:dyDescent="0.2">
      <c r="A715" s="21"/>
      <c r="B715" s="22"/>
      <c r="C715" s="22"/>
      <c r="D715" s="23"/>
      <c r="G715" s="24"/>
      <c r="H715" s="24"/>
      <c r="I715" s="24"/>
      <c r="J715" s="24"/>
      <c r="K715" s="24"/>
      <c r="M715" s="24"/>
      <c r="W715" s="24"/>
    </row>
    <row r="716" spans="1:23" ht="12.75" x14ac:dyDescent="0.2">
      <c r="A716" s="21"/>
      <c r="B716" s="22"/>
      <c r="C716" s="22"/>
      <c r="D716" s="23"/>
      <c r="G716" s="24"/>
      <c r="H716" s="24"/>
      <c r="I716" s="24"/>
      <c r="J716" s="24"/>
      <c r="K716" s="24"/>
      <c r="M716" s="24"/>
      <c r="W716" s="24"/>
    </row>
    <row r="717" spans="1:23" ht="12.75" x14ac:dyDescent="0.2">
      <c r="A717" s="21"/>
      <c r="B717" s="22"/>
      <c r="C717" s="22"/>
      <c r="D717" s="23"/>
      <c r="G717" s="24"/>
      <c r="H717" s="24"/>
      <c r="I717" s="24"/>
      <c r="J717" s="24"/>
      <c r="K717" s="24"/>
      <c r="M717" s="24"/>
      <c r="W717" s="24"/>
    </row>
    <row r="718" spans="1:23" ht="12.75" x14ac:dyDescent="0.2">
      <c r="A718" s="21"/>
      <c r="B718" s="22"/>
      <c r="C718" s="22"/>
      <c r="D718" s="23"/>
      <c r="G718" s="24"/>
      <c r="H718" s="24"/>
      <c r="I718" s="24"/>
      <c r="J718" s="24"/>
      <c r="K718" s="24"/>
      <c r="M718" s="24"/>
      <c r="W718" s="24"/>
    </row>
    <row r="719" spans="1:23" ht="12.75" x14ac:dyDescent="0.2">
      <c r="A719" s="21"/>
      <c r="B719" s="22"/>
      <c r="C719" s="22"/>
      <c r="D719" s="23"/>
      <c r="G719" s="24"/>
      <c r="H719" s="24"/>
      <c r="I719" s="24"/>
      <c r="J719" s="24"/>
      <c r="K719" s="24"/>
      <c r="M719" s="24"/>
      <c r="W719" s="24"/>
    </row>
    <row r="720" spans="1:23" ht="12.75" x14ac:dyDescent="0.2">
      <c r="A720" s="21"/>
      <c r="B720" s="22"/>
      <c r="C720" s="22"/>
      <c r="D720" s="23"/>
      <c r="G720" s="24"/>
      <c r="H720" s="24"/>
      <c r="I720" s="24"/>
      <c r="J720" s="24"/>
      <c r="K720" s="24"/>
      <c r="M720" s="24"/>
      <c r="W720" s="24"/>
    </row>
    <row r="721" spans="1:23" ht="12.75" x14ac:dyDescent="0.2">
      <c r="A721" s="21"/>
      <c r="B721" s="22"/>
      <c r="C721" s="22"/>
      <c r="D721" s="23"/>
      <c r="G721" s="24"/>
      <c r="H721" s="24"/>
      <c r="I721" s="24"/>
      <c r="J721" s="24"/>
      <c r="K721" s="24"/>
      <c r="M721" s="24"/>
      <c r="W721" s="24"/>
    </row>
    <row r="722" spans="1:23" ht="12.75" x14ac:dyDescent="0.2">
      <c r="A722" s="21"/>
      <c r="B722" s="22"/>
      <c r="C722" s="22"/>
      <c r="D722" s="23"/>
      <c r="G722" s="24"/>
      <c r="H722" s="24"/>
      <c r="I722" s="24"/>
      <c r="J722" s="24"/>
      <c r="K722" s="24"/>
      <c r="M722" s="24"/>
      <c r="W722" s="24"/>
    </row>
    <row r="723" spans="1:23" ht="12.75" x14ac:dyDescent="0.2">
      <c r="A723" s="21"/>
      <c r="B723" s="22"/>
      <c r="C723" s="22"/>
      <c r="D723" s="23"/>
      <c r="G723" s="24"/>
      <c r="H723" s="24"/>
      <c r="I723" s="24"/>
      <c r="J723" s="24"/>
      <c r="K723" s="24"/>
      <c r="M723" s="24"/>
      <c r="W723" s="24"/>
    </row>
    <row r="724" spans="1:23" ht="12.75" x14ac:dyDescent="0.2">
      <c r="A724" s="21"/>
      <c r="B724" s="22"/>
      <c r="C724" s="22"/>
      <c r="D724" s="23"/>
      <c r="G724" s="24"/>
      <c r="H724" s="24"/>
      <c r="I724" s="24"/>
      <c r="J724" s="24"/>
      <c r="K724" s="24"/>
      <c r="M724" s="24"/>
      <c r="W724" s="24"/>
    </row>
    <row r="725" spans="1:23" ht="12.75" x14ac:dyDescent="0.2">
      <c r="A725" s="21"/>
      <c r="B725" s="22"/>
      <c r="C725" s="22"/>
      <c r="D725" s="23"/>
      <c r="G725" s="24"/>
      <c r="H725" s="24"/>
      <c r="I725" s="24"/>
      <c r="J725" s="24"/>
      <c r="K725" s="24"/>
      <c r="M725" s="24"/>
      <c r="W725" s="24"/>
    </row>
    <row r="726" spans="1:23" ht="12.75" x14ac:dyDescent="0.2">
      <c r="A726" s="21"/>
      <c r="B726" s="22"/>
      <c r="C726" s="22"/>
      <c r="D726" s="23"/>
      <c r="G726" s="24"/>
      <c r="H726" s="24"/>
      <c r="I726" s="24"/>
      <c r="J726" s="24"/>
      <c r="K726" s="24"/>
      <c r="M726" s="24"/>
      <c r="W726" s="24"/>
    </row>
    <row r="727" spans="1:23" ht="12.75" x14ac:dyDescent="0.2">
      <c r="A727" s="21"/>
      <c r="B727" s="22"/>
      <c r="C727" s="22"/>
      <c r="D727" s="23"/>
      <c r="G727" s="24"/>
      <c r="H727" s="24"/>
      <c r="I727" s="24"/>
      <c r="J727" s="24"/>
      <c r="K727" s="24"/>
      <c r="M727" s="24"/>
      <c r="W727" s="24"/>
    </row>
    <row r="728" spans="1:23" ht="12.75" x14ac:dyDescent="0.2">
      <c r="A728" s="21"/>
      <c r="B728" s="22"/>
      <c r="C728" s="22"/>
      <c r="D728" s="23"/>
      <c r="G728" s="24"/>
      <c r="H728" s="24"/>
      <c r="I728" s="24"/>
      <c r="J728" s="24"/>
      <c r="K728" s="24"/>
      <c r="M728" s="24"/>
      <c r="W728" s="24"/>
    </row>
    <row r="729" spans="1:23" ht="12.75" x14ac:dyDescent="0.2">
      <c r="A729" s="21"/>
      <c r="B729" s="22"/>
      <c r="C729" s="22"/>
      <c r="D729" s="23"/>
      <c r="G729" s="24"/>
      <c r="H729" s="24"/>
      <c r="I729" s="24"/>
      <c r="J729" s="24"/>
      <c r="K729" s="24"/>
      <c r="M729" s="24"/>
      <c r="W729" s="24"/>
    </row>
    <row r="730" spans="1:23" ht="12.75" x14ac:dyDescent="0.2">
      <c r="A730" s="21"/>
      <c r="B730" s="22"/>
      <c r="C730" s="22"/>
      <c r="D730" s="23"/>
      <c r="G730" s="24"/>
      <c r="H730" s="24"/>
      <c r="I730" s="24"/>
      <c r="J730" s="24"/>
      <c r="K730" s="24"/>
      <c r="M730" s="24"/>
      <c r="W730" s="24"/>
    </row>
    <row r="731" spans="1:23" ht="12.75" x14ac:dyDescent="0.2">
      <c r="A731" s="21"/>
      <c r="B731" s="22"/>
      <c r="C731" s="22"/>
      <c r="D731" s="23"/>
      <c r="G731" s="24"/>
      <c r="H731" s="24"/>
      <c r="I731" s="24"/>
      <c r="J731" s="24"/>
      <c r="K731" s="24"/>
      <c r="M731" s="24"/>
      <c r="W731" s="24"/>
    </row>
    <row r="732" spans="1:23" ht="12.75" x14ac:dyDescent="0.2">
      <c r="A732" s="21"/>
      <c r="B732" s="22"/>
      <c r="C732" s="22"/>
      <c r="D732" s="23"/>
      <c r="G732" s="24"/>
      <c r="H732" s="24"/>
      <c r="I732" s="24"/>
      <c r="J732" s="24"/>
      <c r="K732" s="24"/>
      <c r="M732" s="24"/>
      <c r="W732" s="24"/>
    </row>
    <row r="733" spans="1:23" ht="12.75" x14ac:dyDescent="0.2">
      <c r="A733" s="21"/>
      <c r="B733" s="22"/>
      <c r="C733" s="22"/>
      <c r="D733" s="23"/>
      <c r="G733" s="24"/>
      <c r="H733" s="24"/>
      <c r="I733" s="24"/>
      <c r="J733" s="24"/>
      <c r="K733" s="24"/>
      <c r="M733" s="24"/>
      <c r="W733" s="24"/>
    </row>
    <row r="734" spans="1:23" ht="12.75" x14ac:dyDescent="0.2">
      <c r="A734" s="21"/>
      <c r="B734" s="22"/>
      <c r="C734" s="22"/>
      <c r="D734" s="23"/>
      <c r="G734" s="24"/>
      <c r="H734" s="24"/>
      <c r="I734" s="24"/>
      <c r="J734" s="24"/>
      <c r="K734" s="24"/>
      <c r="M734" s="24"/>
      <c r="W734" s="24"/>
    </row>
    <row r="735" spans="1:23" ht="12.75" x14ac:dyDescent="0.2">
      <c r="A735" s="21"/>
      <c r="B735" s="22"/>
      <c r="C735" s="22"/>
      <c r="D735" s="23"/>
      <c r="G735" s="24"/>
      <c r="H735" s="24"/>
      <c r="I735" s="24"/>
      <c r="J735" s="24"/>
      <c r="K735" s="24"/>
      <c r="M735" s="24"/>
      <c r="W735" s="24"/>
    </row>
    <row r="736" spans="1:23" ht="12.75" x14ac:dyDescent="0.2">
      <c r="A736" s="21"/>
      <c r="B736" s="22"/>
      <c r="C736" s="22"/>
      <c r="D736" s="23"/>
      <c r="G736" s="24"/>
      <c r="H736" s="24"/>
      <c r="I736" s="24"/>
      <c r="J736" s="24"/>
      <c r="K736" s="24"/>
      <c r="M736" s="24"/>
      <c r="W736" s="24"/>
    </row>
    <row r="737" spans="1:23" ht="12.75" x14ac:dyDescent="0.2">
      <c r="A737" s="21"/>
      <c r="B737" s="22"/>
      <c r="C737" s="22"/>
      <c r="D737" s="23"/>
      <c r="G737" s="24"/>
      <c r="H737" s="24"/>
      <c r="I737" s="24"/>
      <c r="J737" s="24"/>
      <c r="K737" s="24"/>
      <c r="M737" s="24"/>
      <c r="W737" s="24"/>
    </row>
    <row r="738" spans="1:23" ht="12.75" x14ac:dyDescent="0.2">
      <c r="A738" s="21"/>
      <c r="B738" s="22"/>
      <c r="C738" s="22"/>
      <c r="D738" s="23"/>
      <c r="G738" s="24"/>
      <c r="H738" s="24"/>
      <c r="I738" s="24"/>
      <c r="J738" s="24"/>
      <c r="K738" s="24"/>
      <c r="M738" s="24"/>
      <c r="W738" s="24"/>
    </row>
    <row r="739" spans="1:23" ht="12.75" x14ac:dyDescent="0.2">
      <c r="A739" s="21"/>
      <c r="B739" s="22"/>
      <c r="C739" s="22"/>
      <c r="D739" s="23"/>
      <c r="G739" s="24"/>
      <c r="H739" s="24"/>
      <c r="I739" s="24"/>
      <c r="J739" s="24"/>
      <c r="K739" s="24"/>
      <c r="M739" s="24"/>
      <c r="W739" s="24"/>
    </row>
    <row r="740" spans="1:23" ht="12.75" x14ac:dyDescent="0.2">
      <c r="A740" s="21"/>
      <c r="B740" s="22"/>
      <c r="C740" s="22"/>
      <c r="D740" s="23"/>
      <c r="G740" s="24"/>
      <c r="H740" s="24"/>
      <c r="I740" s="24"/>
      <c r="J740" s="24"/>
      <c r="K740" s="24"/>
      <c r="M740" s="24"/>
      <c r="W740" s="24"/>
    </row>
    <row r="741" spans="1:23" ht="12.75" x14ac:dyDescent="0.2">
      <c r="A741" s="21"/>
      <c r="B741" s="22"/>
      <c r="C741" s="22"/>
      <c r="D741" s="23"/>
      <c r="G741" s="24"/>
      <c r="H741" s="24"/>
      <c r="I741" s="24"/>
      <c r="J741" s="24"/>
      <c r="K741" s="24"/>
      <c r="M741" s="24"/>
      <c r="W741" s="24"/>
    </row>
    <row r="742" spans="1:23" ht="12.75" x14ac:dyDescent="0.2">
      <c r="A742" s="21"/>
      <c r="B742" s="22"/>
      <c r="C742" s="22"/>
      <c r="D742" s="23"/>
      <c r="G742" s="24"/>
      <c r="H742" s="24"/>
      <c r="I742" s="24"/>
      <c r="J742" s="24"/>
      <c r="K742" s="24"/>
      <c r="M742" s="24"/>
      <c r="W742" s="24"/>
    </row>
    <row r="743" spans="1:23" ht="12.75" x14ac:dyDescent="0.2">
      <c r="A743" s="21"/>
      <c r="B743" s="22"/>
      <c r="C743" s="22"/>
      <c r="D743" s="23"/>
      <c r="G743" s="24"/>
      <c r="H743" s="24"/>
      <c r="I743" s="24"/>
      <c r="J743" s="24"/>
      <c r="K743" s="24"/>
      <c r="M743" s="24"/>
      <c r="W743" s="24"/>
    </row>
    <row r="744" spans="1:23" ht="12.75" x14ac:dyDescent="0.2">
      <c r="A744" s="21"/>
      <c r="B744" s="22"/>
      <c r="C744" s="22"/>
      <c r="D744" s="23"/>
      <c r="G744" s="24"/>
      <c r="H744" s="24"/>
      <c r="I744" s="24"/>
      <c r="J744" s="24"/>
      <c r="K744" s="24"/>
      <c r="M744" s="24"/>
      <c r="W744" s="24"/>
    </row>
    <row r="745" spans="1:23" ht="12.75" x14ac:dyDescent="0.2">
      <c r="A745" s="21"/>
      <c r="B745" s="22"/>
      <c r="C745" s="22"/>
      <c r="D745" s="23"/>
      <c r="G745" s="24"/>
      <c r="H745" s="24"/>
      <c r="I745" s="24"/>
      <c r="J745" s="24"/>
      <c r="K745" s="24"/>
      <c r="M745" s="24"/>
      <c r="W745" s="24"/>
    </row>
    <row r="746" spans="1:23" ht="12.75" x14ac:dyDescent="0.2">
      <c r="A746" s="21"/>
      <c r="B746" s="22"/>
      <c r="C746" s="22"/>
      <c r="D746" s="23"/>
      <c r="G746" s="24"/>
      <c r="H746" s="24"/>
      <c r="I746" s="24"/>
      <c r="J746" s="24"/>
      <c r="K746" s="24"/>
      <c r="M746" s="24"/>
      <c r="W746" s="24"/>
    </row>
    <row r="747" spans="1:23" ht="12.75" x14ac:dyDescent="0.2">
      <c r="A747" s="21"/>
      <c r="B747" s="22"/>
      <c r="C747" s="22"/>
      <c r="D747" s="23"/>
      <c r="G747" s="24"/>
      <c r="H747" s="24"/>
      <c r="I747" s="24"/>
      <c r="J747" s="24"/>
      <c r="K747" s="24"/>
      <c r="M747" s="24"/>
      <c r="W747" s="24"/>
    </row>
    <row r="748" spans="1:23" ht="12.75" x14ac:dyDescent="0.2">
      <c r="A748" s="21"/>
      <c r="B748" s="22"/>
      <c r="C748" s="22"/>
      <c r="D748" s="23"/>
      <c r="G748" s="24"/>
      <c r="H748" s="24"/>
      <c r="I748" s="24"/>
      <c r="J748" s="24"/>
      <c r="K748" s="24"/>
      <c r="M748" s="24"/>
      <c r="W748" s="24"/>
    </row>
    <row r="749" spans="1:23" ht="12.75" x14ac:dyDescent="0.2">
      <c r="A749" s="21"/>
      <c r="B749" s="22"/>
      <c r="C749" s="22"/>
      <c r="D749" s="23"/>
      <c r="G749" s="24"/>
      <c r="H749" s="24"/>
      <c r="I749" s="24"/>
      <c r="J749" s="24"/>
      <c r="K749" s="24"/>
      <c r="M749" s="24"/>
      <c r="W749" s="24"/>
    </row>
    <row r="750" spans="1:23" ht="12.75" x14ac:dyDescent="0.2">
      <c r="A750" s="21"/>
      <c r="B750" s="22"/>
      <c r="C750" s="22"/>
      <c r="D750" s="23"/>
      <c r="G750" s="24"/>
      <c r="H750" s="24"/>
      <c r="I750" s="24"/>
      <c r="J750" s="24"/>
      <c r="K750" s="24"/>
      <c r="M750" s="24"/>
      <c r="W750" s="24"/>
    </row>
    <row r="751" spans="1:23" ht="12.75" x14ac:dyDescent="0.2">
      <c r="A751" s="21"/>
      <c r="B751" s="22"/>
      <c r="C751" s="22"/>
      <c r="D751" s="23"/>
      <c r="G751" s="24"/>
      <c r="H751" s="24"/>
      <c r="I751" s="24"/>
      <c r="J751" s="24"/>
      <c r="K751" s="24"/>
      <c r="M751" s="24"/>
      <c r="W751" s="24"/>
    </row>
    <row r="752" spans="1:23" ht="12.75" x14ac:dyDescent="0.2">
      <c r="A752" s="21"/>
      <c r="B752" s="22"/>
      <c r="C752" s="22"/>
      <c r="D752" s="23"/>
      <c r="G752" s="24"/>
      <c r="H752" s="24"/>
      <c r="I752" s="24"/>
      <c r="J752" s="24"/>
      <c r="K752" s="24"/>
      <c r="M752" s="24"/>
      <c r="W752" s="24"/>
    </row>
    <row r="753" spans="1:23" ht="12.75" x14ac:dyDescent="0.2">
      <c r="A753" s="21"/>
      <c r="B753" s="22"/>
      <c r="C753" s="22"/>
      <c r="D753" s="23"/>
      <c r="G753" s="24"/>
      <c r="H753" s="24"/>
      <c r="I753" s="24"/>
      <c r="J753" s="24"/>
      <c r="K753" s="24"/>
      <c r="M753" s="24"/>
      <c r="W753" s="24"/>
    </row>
    <row r="754" spans="1:23" ht="12.75" x14ac:dyDescent="0.2">
      <c r="A754" s="21"/>
      <c r="B754" s="22"/>
      <c r="C754" s="22"/>
      <c r="D754" s="23"/>
      <c r="G754" s="24"/>
      <c r="H754" s="24"/>
      <c r="I754" s="24"/>
      <c r="J754" s="24"/>
      <c r="K754" s="24"/>
      <c r="M754" s="24"/>
      <c r="W754" s="24"/>
    </row>
    <row r="755" spans="1:23" ht="12.75" x14ac:dyDescent="0.2">
      <c r="A755" s="21"/>
      <c r="B755" s="22"/>
      <c r="C755" s="22"/>
      <c r="D755" s="23"/>
      <c r="G755" s="24"/>
      <c r="H755" s="24"/>
      <c r="I755" s="24"/>
      <c r="J755" s="24"/>
      <c r="K755" s="24"/>
      <c r="M755" s="24"/>
      <c r="W755" s="24"/>
    </row>
    <row r="756" spans="1:23" ht="12.75" x14ac:dyDescent="0.2">
      <c r="A756" s="21"/>
      <c r="B756" s="22"/>
      <c r="C756" s="22"/>
      <c r="D756" s="23"/>
      <c r="G756" s="24"/>
      <c r="H756" s="24"/>
      <c r="I756" s="24"/>
      <c r="J756" s="24"/>
      <c r="K756" s="24"/>
      <c r="M756" s="24"/>
      <c r="W756" s="24"/>
    </row>
    <row r="757" spans="1:23" ht="12.75" x14ac:dyDescent="0.2">
      <c r="A757" s="21"/>
      <c r="B757" s="22"/>
      <c r="C757" s="22"/>
      <c r="D757" s="23"/>
      <c r="G757" s="24"/>
      <c r="H757" s="24"/>
      <c r="I757" s="24"/>
      <c r="J757" s="24"/>
      <c r="K757" s="24"/>
      <c r="M757" s="24"/>
      <c r="W757" s="24"/>
    </row>
    <row r="758" spans="1:23" ht="12.75" x14ac:dyDescent="0.2">
      <c r="A758" s="21"/>
      <c r="B758" s="22"/>
      <c r="C758" s="22"/>
      <c r="D758" s="23"/>
      <c r="G758" s="24"/>
      <c r="H758" s="24"/>
      <c r="I758" s="24"/>
      <c r="J758" s="24"/>
      <c r="K758" s="24"/>
      <c r="M758" s="24"/>
      <c r="W758" s="24"/>
    </row>
    <row r="759" spans="1:23" ht="12.75" x14ac:dyDescent="0.2">
      <c r="A759" s="21"/>
      <c r="B759" s="22"/>
      <c r="C759" s="22"/>
      <c r="D759" s="23"/>
      <c r="G759" s="24"/>
      <c r="H759" s="24"/>
      <c r="I759" s="24"/>
      <c r="J759" s="24"/>
      <c r="K759" s="24"/>
      <c r="M759" s="24"/>
      <c r="W759" s="24"/>
    </row>
    <row r="760" spans="1:23" ht="12.75" x14ac:dyDescent="0.2">
      <c r="A760" s="21"/>
      <c r="B760" s="22"/>
      <c r="C760" s="22"/>
      <c r="D760" s="23"/>
      <c r="G760" s="24"/>
      <c r="H760" s="24"/>
      <c r="I760" s="24"/>
      <c r="J760" s="24"/>
      <c r="K760" s="24"/>
      <c r="M760" s="24"/>
      <c r="W760" s="24"/>
    </row>
    <row r="761" spans="1:23" ht="12.75" x14ac:dyDescent="0.2">
      <c r="A761" s="21"/>
      <c r="B761" s="22"/>
      <c r="C761" s="22"/>
      <c r="D761" s="23"/>
      <c r="G761" s="24"/>
      <c r="H761" s="24"/>
      <c r="I761" s="24"/>
      <c r="J761" s="24"/>
      <c r="K761" s="24"/>
      <c r="M761" s="24"/>
      <c r="W761" s="24"/>
    </row>
    <row r="762" spans="1:23" ht="12.75" x14ac:dyDescent="0.2">
      <c r="A762" s="21"/>
      <c r="B762" s="22"/>
      <c r="C762" s="22"/>
      <c r="D762" s="23"/>
      <c r="G762" s="24"/>
      <c r="H762" s="24"/>
      <c r="I762" s="24"/>
      <c r="J762" s="24"/>
      <c r="K762" s="24"/>
      <c r="M762" s="24"/>
      <c r="W762" s="24"/>
    </row>
    <row r="763" spans="1:23" ht="12.75" x14ac:dyDescent="0.2">
      <c r="A763" s="21"/>
      <c r="B763" s="22"/>
      <c r="C763" s="22"/>
      <c r="D763" s="23"/>
      <c r="G763" s="24"/>
      <c r="H763" s="24"/>
      <c r="I763" s="24"/>
      <c r="J763" s="24"/>
      <c r="K763" s="24"/>
      <c r="M763" s="24"/>
      <c r="W763" s="24"/>
    </row>
    <row r="764" spans="1:23" ht="12.75" x14ac:dyDescent="0.2">
      <c r="A764" s="21"/>
      <c r="B764" s="22"/>
      <c r="C764" s="22"/>
      <c r="D764" s="23"/>
      <c r="G764" s="24"/>
      <c r="H764" s="24"/>
      <c r="I764" s="24"/>
      <c r="J764" s="24"/>
      <c r="K764" s="24"/>
      <c r="M764" s="24"/>
      <c r="W764" s="24"/>
    </row>
    <row r="765" spans="1:23" ht="12.75" x14ac:dyDescent="0.2">
      <c r="A765" s="21"/>
      <c r="B765" s="22"/>
      <c r="C765" s="22"/>
      <c r="D765" s="23"/>
      <c r="G765" s="24"/>
      <c r="H765" s="24"/>
      <c r="I765" s="24"/>
      <c r="J765" s="24"/>
      <c r="K765" s="24"/>
      <c r="M765" s="24"/>
      <c r="W765" s="24"/>
    </row>
    <row r="766" spans="1:23" ht="12.75" x14ac:dyDescent="0.2">
      <c r="A766" s="21"/>
      <c r="B766" s="22"/>
      <c r="C766" s="22"/>
      <c r="D766" s="23"/>
      <c r="G766" s="24"/>
      <c r="H766" s="24"/>
      <c r="I766" s="24"/>
      <c r="J766" s="24"/>
      <c r="K766" s="24"/>
      <c r="M766" s="24"/>
      <c r="W766" s="24"/>
    </row>
    <row r="767" spans="1:23" ht="12.75" x14ac:dyDescent="0.2">
      <c r="A767" s="21"/>
      <c r="B767" s="22"/>
      <c r="C767" s="22"/>
      <c r="D767" s="23"/>
      <c r="G767" s="24"/>
      <c r="H767" s="24"/>
      <c r="I767" s="24"/>
      <c r="J767" s="24"/>
      <c r="K767" s="24"/>
      <c r="M767" s="24"/>
      <c r="W767" s="24"/>
    </row>
    <row r="768" spans="1:23" ht="12.75" x14ac:dyDescent="0.2">
      <c r="A768" s="21"/>
      <c r="B768" s="22"/>
      <c r="C768" s="22"/>
      <c r="D768" s="23"/>
      <c r="G768" s="24"/>
      <c r="H768" s="24"/>
      <c r="I768" s="24"/>
      <c r="J768" s="24"/>
      <c r="K768" s="24"/>
      <c r="M768" s="24"/>
      <c r="W768" s="24"/>
    </row>
    <row r="769" spans="1:23" ht="12.75" x14ac:dyDescent="0.2">
      <c r="A769" s="21"/>
      <c r="B769" s="22"/>
      <c r="C769" s="22"/>
      <c r="D769" s="23"/>
      <c r="G769" s="24"/>
      <c r="H769" s="24"/>
      <c r="I769" s="24"/>
      <c r="J769" s="24"/>
      <c r="K769" s="24"/>
      <c r="M769" s="24"/>
      <c r="W769" s="24"/>
    </row>
    <row r="770" spans="1:23" ht="12.75" x14ac:dyDescent="0.2">
      <c r="A770" s="21"/>
      <c r="B770" s="22"/>
      <c r="C770" s="22"/>
      <c r="D770" s="23"/>
      <c r="G770" s="24"/>
      <c r="H770" s="24"/>
      <c r="I770" s="24"/>
      <c r="J770" s="24"/>
      <c r="K770" s="24"/>
      <c r="M770" s="24"/>
      <c r="W770" s="24"/>
    </row>
    <row r="771" spans="1:23" ht="12.75" x14ac:dyDescent="0.2">
      <c r="A771" s="21"/>
      <c r="B771" s="22"/>
      <c r="C771" s="22"/>
      <c r="D771" s="23"/>
      <c r="G771" s="24"/>
      <c r="H771" s="24"/>
      <c r="I771" s="24"/>
      <c r="J771" s="24"/>
      <c r="K771" s="24"/>
      <c r="M771" s="24"/>
      <c r="W771" s="24"/>
    </row>
    <row r="772" spans="1:23" ht="12.75" x14ac:dyDescent="0.2">
      <c r="A772" s="21"/>
      <c r="B772" s="22"/>
      <c r="C772" s="22"/>
      <c r="D772" s="23"/>
      <c r="G772" s="24"/>
      <c r="H772" s="24"/>
      <c r="I772" s="24"/>
      <c r="J772" s="24"/>
      <c r="K772" s="24"/>
      <c r="M772" s="24"/>
      <c r="W772" s="24"/>
    </row>
    <row r="773" spans="1:23" ht="12.75" x14ac:dyDescent="0.2">
      <c r="A773" s="21"/>
      <c r="B773" s="22"/>
      <c r="C773" s="22"/>
      <c r="D773" s="23"/>
      <c r="G773" s="24"/>
      <c r="H773" s="24"/>
      <c r="I773" s="24"/>
      <c r="J773" s="24"/>
      <c r="K773" s="24"/>
      <c r="M773" s="24"/>
      <c r="W773" s="24"/>
    </row>
    <row r="774" spans="1:23" ht="12.75" x14ac:dyDescent="0.2">
      <c r="A774" s="21"/>
      <c r="B774" s="22"/>
      <c r="C774" s="22"/>
      <c r="D774" s="23"/>
      <c r="G774" s="24"/>
      <c r="H774" s="24"/>
      <c r="I774" s="24"/>
      <c r="J774" s="24"/>
      <c r="K774" s="24"/>
      <c r="M774" s="24"/>
      <c r="W774" s="24"/>
    </row>
    <row r="775" spans="1:23" ht="12.75" x14ac:dyDescent="0.2">
      <c r="A775" s="21"/>
      <c r="B775" s="22"/>
      <c r="C775" s="22"/>
      <c r="D775" s="23"/>
      <c r="G775" s="24"/>
      <c r="H775" s="24"/>
      <c r="I775" s="24"/>
      <c r="J775" s="24"/>
      <c r="K775" s="24"/>
      <c r="M775" s="24"/>
      <c r="W775" s="24"/>
    </row>
    <row r="776" spans="1:23" ht="12.75" x14ac:dyDescent="0.2">
      <c r="A776" s="21"/>
      <c r="B776" s="22"/>
      <c r="C776" s="22"/>
      <c r="D776" s="23"/>
      <c r="G776" s="24"/>
      <c r="H776" s="24"/>
      <c r="I776" s="24"/>
      <c r="J776" s="24"/>
      <c r="K776" s="24"/>
      <c r="M776" s="24"/>
      <c r="W776" s="24"/>
    </row>
    <row r="777" spans="1:23" ht="12.75" x14ac:dyDescent="0.2">
      <c r="A777" s="21"/>
      <c r="B777" s="22"/>
      <c r="C777" s="22"/>
      <c r="D777" s="23"/>
      <c r="G777" s="24"/>
      <c r="H777" s="24"/>
      <c r="I777" s="24"/>
      <c r="J777" s="24"/>
      <c r="K777" s="24"/>
      <c r="M777" s="24"/>
      <c r="W777" s="24"/>
    </row>
    <row r="778" spans="1:23" ht="12.75" x14ac:dyDescent="0.2">
      <c r="A778" s="21"/>
      <c r="B778" s="22"/>
      <c r="C778" s="22"/>
      <c r="D778" s="23"/>
      <c r="G778" s="24"/>
      <c r="H778" s="24"/>
      <c r="I778" s="24"/>
      <c r="J778" s="24"/>
      <c r="K778" s="24"/>
      <c r="M778" s="24"/>
      <c r="W778" s="24"/>
    </row>
    <row r="779" spans="1:23" ht="12.75" x14ac:dyDescent="0.2">
      <c r="A779" s="21"/>
      <c r="B779" s="22"/>
      <c r="C779" s="22"/>
      <c r="D779" s="23"/>
      <c r="G779" s="24"/>
      <c r="H779" s="24"/>
      <c r="I779" s="24"/>
      <c r="J779" s="24"/>
      <c r="K779" s="24"/>
      <c r="M779" s="24"/>
      <c r="W779" s="24"/>
    </row>
    <row r="780" spans="1:23" ht="12.75" x14ac:dyDescent="0.2">
      <c r="A780" s="21"/>
      <c r="B780" s="22"/>
      <c r="C780" s="22"/>
      <c r="D780" s="23"/>
      <c r="G780" s="24"/>
      <c r="H780" s="24"/>
      <c r="I780" s="24"/>
      <c r="J780" s="24"/>
      <c r="K780" s="24"/>
      <c r="M780" s="24"/>
      <c r="W780" s="24"/>
    </row>
    <row r="781" spans="1:23" ht="12.75" x14ac:dyDescent="0.2">
      <c r="A781" s="21"/>
      <c r="B781" s="22"/>
      <c r="C781" s="22"/>
      <c r="D781" s="23"/>
      <c r="G781" s="24"/>
      <c r="H781" s="24"/>
      <c r="I781" s="24"/>
      <c r="J781" s="24"/>
      <c r="K781" s="24"/>
      <c r="M781" s="24"/>
      <c r="W781" s="24"/>
    </row>
    <row r="782" spans="1:23" ht="12.75" x14ac:dyDescent="0.2">
      <c r="A782" s="21"/>
      <c r="B782" s="22"/>
      <c r="C782" s="22"/>
      <c r="D782" s="23"/>
      <c r="G782" s="24"/>
      <c r="H782" s="24"/>
      <c r="I782" s="24"/>
      <c r="J782" s="24"/>
      <c r="K782" s="24"/>
      <c r="M782" s="24"/>
      <c r="W782" s="24"/>
    </row>
    <row r="783" spans="1:23" ht="12.75" x14ac:dyDescent="0.2">
      <c r="A783" s="21"/>
      <c r="B783" s="22"/>
      <c r="C783" s="22"/>
      <c r="D783" s="23"/>
      <c r="G783" s="24"/>
      <c r="H783" s="24"/>
      <c r="I783" s="24"/>
      <c r="J783" s="24"/>
      <c r="K783" s="24"/>
      <c r="M783" s="24"/>
      <c r="W783" s="24"/>
    </row>
    <row r="784" spans="1:23" ht="12.75" x14ac:dyDescent="0.2">
      <c r="A784" s="21"/>
      <c r="B784" s="22"/>
      <c r="C784" s="22"/>
      <c r="D784" s="23"/>
      <c r="G784" s="24"/>
      <c r="H784" s="24"/>
      <c r="I784" s="24"/>
      <c r="J784" s="24"/>
      <c r="K784" s="24"/>
      <c r="M784" s="24"/>
      <c r="W784" s="24"/>
    </row>
    <row r="785" spans="1:23" ht="12.75" x14ac:dyDescent="0.2">
      <c r="A785" s="21"/>
      <c r="B785" s="22"/>
      <c r="C785" s="22"/>
      <c r="D785" s="23"/>
      <c r="G785" s="24"/>
      <c r="H785" s="24"/>
      <c r="I785" s="24"/>
      <c r="J785" s="24"/>
      <c r="K785" s="24"/>
      <c r="M785" s="24"/>
      <c r="W785" s="24"/>
    </row>
    <row r="786" spans="1:23" ht="12.75" x14ac:dyDescent="0.2">
      <c r="A786" s="21"/>
      <c r="B786" s="22"/>
      <c r="C786" s="22"/>
      <c r="D786" s="23"/>
      <c r="G786" s="24"/>
      <c r="H786" s="24"/>
      <c r="I786" s="24"/>
      <c r="J786" s="24"/>
      <c r="K786" s="24"/>
      <c r="M786" s="24"/>
      <c r="W786" s="24"/>
    </row>
    <row r="787" spans="1:23" ht="12.75" x14ac:dyDescent="0.2">
      <c r="A787" s="21"/>
      <c r="B787" s="22"/>
      <c r="C787" s="22"/>
      <c r="D787" s="23"/>
      <c r="G787" s="24"/>
      <c r="H787" s="24"/>
      <c r="I787" s="24"/>
      <c r="J787" s="24"/>
      <c r="K787" s="24"/>
      <c r="M787" s="24"/>
      <c r="W787" s="24"/>
    </row>
    <row r="788" spans="1:23" ht="12.75" x14ac:dyDescent="0.2">
      <c r="A788" s="21"/>
      <c r="B788" s="22"/>
      <c r="C788" s="22"/>
      <c r="D788" s="23"/>
      <c r="G788" s="24"/>
      <c r="H788" s="24"/>
      <c r="I788" s="24"/>
      <c r="J788" s="24"/>
      <c r="K788" s="24"/>
      <c r="M788" s="24"/>
      <c r="W788" s="24"/>
    </row>
    <row r="789" spans="1:23" ht="12.75" x14ac:dyDescent="0.2">
      <c r="A789" s="21"/>
      <c r="B789" s="22"/>
      <c r="C789" s="22"/>
      <c r="D789" s="23"/>
      <c r="G789" s="24"/>
      <c r="H789" s="24"/>
      <c r="I789" s="24"/>
      <c r="J789" s="24"/>
      <c r="K789" s="24"/>
      <c r="M789" s="24"/>
      <c r="W789" s="24"/>
    </row>
    <row r="790" spans="1:23" ht="12.75" x14ac:dyDescent="0.2">
      <c r="A790" s="21"/>
      <c r="B790" s="22"/>
      <c r="C790" s="22"/>
      <c r="D790" s="23"/>
      <c r="G790" s="24"/>
      <c r="H790" s="24"/>
      <c r="I790" s="24"/>
      <c r="J790" s="24"/>
      <c r="K790" s="24"/>
      <c r="M790" s="24"/>
      <c r="W790" s="24"/>
    </row>
    <row r="791" spans="1:23" ht="12.75" x14ac:dyDescent="0.2">
      <c r="A791" s="21"/>
      <c r="B791" s="22"/>
      <c r="C791" s="22"/>
      <c r="D791" s="23"/>
      <c r="G791" s="24"/>
      <c r="H791" s="24"/>
      <c r="I791" s="24"/>
      <c r="J791" s="24"/>
      <c r="K791" s="24"/>
      <c r="M791" s="24"/>
      <c r="W791" s="24"/>
    </row>
    <row r="792" spans="1:23" ht="12.75" x14ac:dyDescent="0.2">
      <c r="A792" s="21"/>
      <c r="B792" s="22"/>
      <c r="C792" s="22"/>
      <c r="D792" s="23"/>
      <c r="G792" s="24"/>
      <c r="H792" s="24"/>
      <c r="I792" s="24"/>
      <c r="J792" s="24"/>
      <c r="K792" s="24"/>
      <c r="M792" s="24"/>
      <c r="W792" s="24"/>
    </row>
    <row r="793" spans="1:23" ht="12.75" x14ac:dyDescent="0.2">
      <c r="A793" s="21"/>
      <c r="B793" s="22"/>
      <c r="C793" s="22"/>
      <c r="D793" s="23"/>
      <c r="G793" s="24"/>
      <c r="H793" s="24"/>
      <c r="I793" s="24"/>
      <c r="J793" s="24"/>
      <c r="K793" s="24"/>
      <c r="M793" s="24"/>
      <c r="W793" s="24"/>
    </row>
    <row r="794" spans="1:23" ht="12.75" x14ac:dyDescent="0.2">
      <c r="A794" s="21"/>
      <c r="B794" s="22"/>
      <c r="C794" s="22"/>
      <c r="D794" s="23"/>
      <c r="G794" s="24"/>
      <c r="H794" s="24"/>
      <c r="I794" s="24"/>
      <c r="J794" s="24"/>
      <c r="K794" s="24"/>
      <c r="M794" s="24"/>
      <c r="W794" s="24"/>
    </row>
    <row r="795" spans="1:23" ht="12.75" x14ac:dyDescent="0.2">
      <c r="A795" s="21"/>
      <c r="B795" s="22"/>
      <c r="C795" s="22"/>
      <c r="D795" s="23"/>
      <c r="G795" s="24"/>
      <c r="H795" s="24"/>
      <c r="I795" s="24"/>
      <c r="J795" s="24"/>
      <c r="K795" s="24"/>
      <c r="M795" s="24"/>
      <c r="W795" s="24"/>
    </row>
    <row r="796" spans="1:23" ht="12.75" x14ac:dyDescent="0.2">
      <c r="A796" s="21"/>
      <c r="B796" s="22"/>
      <c r="C796" s="22"/>
      <c r="D796" s="23"/>
      <c r="G796" s="24"/>
      <c r="H796" s="24"/>
      <c r="I796" s="24"/>
      <c r="J796" s="24"/>
      <c r="K796" s="24"/>
      <c r="M796" s="24"/>
      <c r="W796" s="24"/>
    </row>
    <row r="797" spans="1:23" ht="12.75" x14ac:dyDescent="0.2">
      <c r="A797" s="21"/>
      <c r="B797" s="22"/>
      <c r="C797" s="22"/>
      <c r="D797" s="23"/>
      <c r="G797" s="24"/>
      <c r="H797" s="24"/>
      <c r="I797" s="24"/>
      <c r="J797" s="24"/>
      <c r="K797" s="24"/>
      <c r="M797" s="24"/>
      <c r="W797" s="24"/>
    </row>
    <row r="798" spans="1:23" ht="12.75" x14ac:dyDescent="0.2">
      <c r="A798" s="21"/>
      <c r="B798" s="22"/>
      <c r="C798" s="22"/>
      <c r="D798" s="23"/>
      <c r="G798" s="24"/>
      <c r="H798" s="24"/>
      <c r="I798" s="24"/>
      <c r="J798" s="24"/>
      <c r="K798" s="24"/>
      <c r="M798" s="24"/>
      <c r="W798" s="24"/>
    </row>
    <row r="799" spans="1:23" ht="12.75" x14ac:dyDescent="0.2">
      <c r="A799" s="21"/>
      <c r="B799" s="22"/>
      <c r="C799" s="22"/>
      <c r="D799" s="23"/>
      <c r="G799" s="24"/>
      <c r="H799" s="24"/>
      <c r="I799" s="24"/>
      <c r="J799" s="24"/>
      <c r="K799" s="24"/>
      <c r="M799" s="24"/>
      <c r="W799" s="24"/>
    </row>
    <row r="800" spans="1:23" ht="12.75" x14ac:dyDescent="0.2">
      <c r="A800" s="21"/>
      <c r="B800" s="22"/>
      <c r="C800" s="22"/>
      <c r="D800" s="23"/>
      <c r="G800" s="24"/>
      <c r="H800" s="24"/>
      <c r="I800" s="24"/>
      <c r="J800" s="24"/>
      <c r="K800" s="24"/>
      <c r="M800" s="24"/>
      <c r="W800" s="24"/>
    </row>
    <row r="801" spans="1:23" ht="12.75" x14ac:dyDescent="0.2">
      <c r="A801" s="21"/>
      <c r="B801" s="22"/>
      <c r="C801" s="22"/>
      <c r="D801" s="23"/>
      <c r="G801" s="24"/>
      <c r="H801" s="24"/>
      <c r="I801" s="24"/>
      <c r="J801" s="24"/>
      <c r="K801" s="24"/>
      <c r="M801" s="24"/>
      <c r="W801" s="24"/>
    </row>
    <row r="802" spans="1:23" ht="12.75" x14ac:dyDescent="0.2">
      <c r="A802" s="21"/>
      <c r="B802" s="22"/>
      <c r="C802" s="22"/>
      <c r="D802" s="23"/>
      <c r="G802" s="24"/>
      <c r="H802" s="24"/>
      <c r="I802" s="24"/>
      <c r="J802" s="24"/>
      <c r="K802" s="24"/>
      <c r="M802" s="24"/>
      <c r="W802" s="24"/>
    </row>
    <row r="803" spans="1:23" ht="12.75" x14ac:dyDescent="0.2">
      <c r="A803" s="21"/>
      <c r="B803" s="22"/>
      <c r="C803" s="22"/>
      <c r="D803" s="23"/>
      <c r="G803" s="24"/>
      <c r="H803" s="24"/>
      <c r="I803" s="24"/>
      <c r="J803" s="24"/>
      <c r="K803" s="24"/>
      <c r="M803" s="24"/>
      <c r="W803" s="24"/>
    </row>
    <row r="804" spans="1:23" ht="12.75" x14ac:dyDescent="0.2">
      <c r="A804" s="21"/>
      <c r="B804" s="22"/>
      <c r="C804" s="22"/>
      <c r="D804" s="23"/>
      <c r="G804" s="24"/>
      <c r="H804" s="24"/>
      <c r="I804" s="24"/>
      <c r="J804" s="24"/>
      <c r="K804" s="24"/>
      <c r="M804" s="24"/>
      <c r="W804" s="24"/>
    </row>
    <row r="805" spans="1:23" ht="12.75" x14ac:dyDescent="0.2">
      <c r="A805" s="21"/>
      <c r="B805" s="22"/>
      <c r="C805" s="22"/>
      <c r="D805" s="23"/>
      <c r="G805" s="24"/>
      <c r="H805" s="24"/>
      <c r="I805" s="24"/>
      <c r="J805" s="24"/>
      <c r="K805" s="24"/>
      <c r="M805" s="24"/>
      <c r="W805" s="24"/>
    </row>
    <row r="806" spans="1:23" ht="12.75" x14ac:dyDescent="0.2">
      <c r="A806" s="21"/>
      <c r="B806" s="22"/>
      <c r="C806" s="22"/>
      <c r="D806" s="23"/>
      <c r="G806" s="24"/>
      <c r="H806" s="24"/>
      <c r="I806" s="24"/>
      <c r="J806" s="24"/>
      <c r="K806" s="24"/>
      <c r="M806" s="24"/>
      <c r="W806" s="24"/>
    </row>
    <row r="807" spans="1:23" ht="12.75" x14ac:dyDescent="0.2">
      <c r="A807" s="21"/>
      <c r="B807" s="22"/>
      <c r="C807" s="22"/>
      <c r="D807" s="23"/>
      <c r="G807" s="24"/>
      <c r="H807" s="24"/>
      <c r="I807" s="24"/>
      <c r="J807" s="24"/>
      <c r="K807" s="24"/>
      <c r="M807" s="24"/>
      <c r="W807" s="24"/>
    </row>
    <row r="808" spans="1:23" ht="12.75" x14ac:dyDescent="0.2">
      <c r="A808" s="21"/>
      <c r="B808" s="22"/>
      <c r="C808" s="22"/>
      <c r="D808" s="23"/>
      <c r="G808" s="24"/>
      <c r="H808" s="24"/>
      <c r="I808" s="24"/>
      <c r="J808" s="24"/>
      <c r="K808" s="24"/>
      <c r="M808" s="24"/>
      <c r="W808" s="24"/>
    </row>
    <row r="809" spans="1:23" ht="12.75" x14ac:dyDescent="0.2">
      <c r="A809" s="21"/>
      <c r="B809" s="22"/>
      <c r="C809" s="22"/>
      <c r="D809" s="23"/>
      <c r="G809" s="24"/>
      <c r="H809" s="24"/>
      <c r="I809" s="24"/>
      <c r="J809" s="24"/>
      <c r="K809" s="24"/>
      <c r="M809" s="24"/>
      <c r="W809" s="24"/>
    </row>
    <row r="810" spans="1:23" ht="12.75" x14ac:dyDescent="0.2">
      <c r="A810" s="21"/>
      <c r="B810" s="22"/>
      <c r="C810" s="22"/>
      <c r="D810" s="23"/>
      <c r="G810" s="24"/>
      <c r="H810" s="24"/>
      <c r="I810" s="24"/>
      <c r="J810" s="24"/>
      <c r="K810" s="24"/>
      <c r="M810" s="24"/>
      <c r="W810" s="24"/>
    </row>
    <row r="811" spans="1:23" ht="12.75" x14ac:dyDescent="0.2">
      <c r="A811" s="21"/>
      <c r="B811" s="22"/>
      <c r="C811" s="22"/>
      <c r="D811" s="23"/>
      <c r="G811" s="24"/>
      <c r="H811" s="24"/>
      <c r="I811" s="24"/>
      <c r="J811" s="24"/>
      <c r="K811" s="24"/>
      <c r="M811" s="24"/>
      <c r="W811" s="24"/>
    </row>
    <row r="812" spans="1:23" ht="12.75" x14ac:dyDescent="0.2">
      <c r="A812" s="21"/>
      <c r="B812" s="22"/>
      <c r="C812" s="22"/>
      <c r="D812" s="23"/>
      <c r="G812" s="24"/>
      <c r="H812" s="24"/>
      <c r="I812" s="24"/>
      <c r="J812" s="24"/>
      <c r="K812" s="24"/>
      <c r="M812" s="24"/>
      <c r="W812" s="24"/>
    </row>
    <row r="813" spans="1:23" ht="12.75" x14ac:dyDescent="0.2">
      <c r="A813" s="21"/>
      <c r="B813" s="22"/>
      <c r="C813" s="22"/>
      <c r="D813" s="23"/>
      <c r="G813" s="24"/>
      <c r="H813" s="24"/>
      <c r="I813" s="24"/>
      <c r="J813" s="24"/>
      <c r="K813" s="24"/>
      <c r="M813" s="24"/>
      <c r="W813" s="24"/>
    </row>
    <row r="814" spans="1:23" ht="12.75" x14ac:dyDescent="0.2">
      <c r="A814" s="21"/>
      <c r="B814" s="22"/>
      <c r="C814" s="22"/>
      <c r="D814" s="23"/>
      <c r="G814" s="24"/>
      <c r="H814" s="24"/>
      <c r="I814" s="24"/>
      <c r="J814" s="24"/>
      <c r="K814" s="24"/>
      <c r="M814" s="24"/>
      <c r="W814" s="24"/>
    </row>
    <row r="815" spans="1:23" ht="12.75" x14ac:dyDescent="0.2">
      <c r="A815" s="21"/>
      <c r="B815" s="22"/>
      <c r="C815" s="22"/>
      <c r="D815" s="23"/>
      <c r="G815" s="24"/>
      <c r="H815" s="24"/>
      <c r="I815" s="24"/>
      <c r="J815" s="24"/>
      <c r="K815" s="24"/>
      <c r="M815" s="24"/>
      <c r="W815" s="24"/>
    </row>
    <row r="816" spans="1:23" ht="12.75" x14ac:dyDescent="0.2">
      <c r="A816" s="21"/>
      <c r="B816" s="22"/>
      <c r="C816" s="22"/>
      <c r="D816" s="23"/>
      <c r="G816" s="24"/>
      <c r="H816" s="24"/>
      <c r="I816" s="24"/>
      <c r="J816" s="24"/>
      <c r="K816" s="24"/>
      <c r="M816" s="24"/>
      <c r="W816" s="24"/>
    </row>
    <row r="817" spans="1:23" ht="12.75" x14ac:dyDescent="0.2">
      <c r="A817" s="21"/>
      <c r="B817" s="22"/>
      <c r="C817" s="22"/>
      <c r="D817" s="23"/>
      <c r="G817" s="24"/>
      <c r="H817" s="24"/>
      <c r="I817" s="24"/>
      <c r="J817" s="24"/>
      <c r="K817" s="24"/>
      <c r="M817" s="24"/>
      <c r="W817" s="24"/>
    </row>
    <row r="818" spans="1:23" ht="12.75" x14ac:dyDescent="0.2">
      <c r="A818" s="21"/>
      <c r="B818" s="22"/>
      <c r="C818" s="22"/>
      <c r="D818" s="23"/>
      <c r="G818" s="24"/>
      <c r="H818" s="24"/>
      <c r="I818" s="24"/>
      <c r="J818" s="24"/>
      <c r="K818" s="24"/>
      <c r="M818" s="24"/>
      <c r="W818" s="24"/>
    </row>
    <row r="819" spans="1:23" ht="12.75" x14ac:dyDescent="0.2">
      <c r="A819" s="21"/>
      <c r="B819" s="22"/>
      <c r="C819" s="22"/>
      <c r="D819" s="23"/>
      <c r="G819" s="24"/>
      <c r="H819" s="24"/>
      <c r="I819" s="24"/>
      <c r="J819" s="24"/>
      <c r="K819" s="24"/>
      <c r="M819" s="24"/>
      <c r="W819" s="24"/>
    </row>
    <row r="820" spans="1:23" ht="12.75" x14ac:dyDescent="0.2">
      <c r="A820" s="21"/>
      <c r="B820" s="22"/>
      <c r="C820" s="22"/>
      <c r="D820" s="23"/>
      <c r="G820" s="24"/>
      <c r="H820" s="24"/>
      <c r="I820" s="24"/>
      <c r="J820" s="24"/>
      <c r="K820" s="24"/>
      <c r="M820" s="24"/>
      <c r="W820" s="24"/>
    </row>
    <row r="821" spans="1:23" ht="12.75" x14ac:dyDescent="0.2">
      <c r="A821" s="21"/>
      <c r="B821" s="22"/>
      <c r="C821" s="22"/>
      <c r="D821" s="23"/>
      <c r="G821" s="24"/>
      <c r="H821" s="24"/>
      <c r="I821" s="24"/>
      <c r="J821" s="24"/>
      <c r="K821" s="24"/>
      <c r="M821" s="24"/>
      <c r="W821" s="24"/>
    </row>
    <row r="822" spans="1:23" ht="12.75" x14ac:dyDescent="0.2">
      <c r="A822" s="21"/>
      <c r="B822" s="22"/>
      <c r="C822" s="22"/>
      <c r="D822" s="23"/>
      <c r="G822" s="24"/>
      <c r="H822" s="24"/>
      <c r="I822" s="24"/>
      <c r="J822" s="24"/>
      <c r="K822" s="24"/>
      <c r="M822" s="24"/>
      <c r="W822" s="24"/>
    </row>
    <row r="823" spans="1:23" ht="12.75" x14ac:dyDescent="0.2">
      <c r="A823" s="21"/>
      <c r="B823" s="22"/>
      <c r="C823" s="22"/>
      <c r="D823" s="23"/>
      <c r="G823" s="24"/>
      <c r="H823" s="24"/>
      <c r="I823" s="24"/>
      <c r="J823" s="24"/>
      <c r="K823" s="24"/>
      <c r="M823" s="24"/>
      <c r="W823" s="24"/>
    </row>
    <row r="824" spans="1:23" ht="12.75" x14ac:dyDescent="0.2">
      <c r="A824" s="21"/>
      <c r="B824" s="22"/>
      <c r="C824" s="22"/>
      <c r="D824" s="23"/>
      <c r="G824" s="24"/>
      <c r="H824" s="24"/>
      <c r="I824" s="24"/>
      <c r="J824" s="24"/>
      <c r="K824" s="24"/>
      <c r="M824" s="24"/>
      <c r="W824" s="24"/>
    </row>
    <row r="825" spans="1:23" ht="12.75" x14ac:dyDescent="0.2">
      <c r="A825" s="21"/>
      <c r="B825" s="22"/>
      <c r="C825" s="22"/>
      <c r="D825" s="23"/>
      <c r="G825" s="24"/>
      <c r="H825" s="24"/>
      <c r="I825" s="24"/>
      <c r="J825" s="24"/>
      <c r="K825" s="24"/>
      <c r="M825" s="24"/>
      <c r="W825" s="24"/>
    </row>
    <row r="826" spans="1:23" ht="12.75" x14ac:dyDescent="0.2">
      <c r="A826" s="21"/>
      <c r="B826" s="22"/>
      <c r="C826" s="22"/>
      <c r="D826" s="23"/>
      <c r="G826" s="24"/>
      <c r="H826" s="24"/>
      <c r="I826" s="24"/>
      <c r="J826" s="24"/>
      <c r="K826" s="24"/>
      <c r="M826" s="24"/>
      <c r="W826" s="24"/>
    </row>
    <row r="827" spans="1:23" ht="12.75" x14ac:dyDescent="0.2">
      <c r="A827" s="21"/>
      <c r="B827" s="22"/>
      <c r="C827" s="22"/>
      <c r="D827" s="23"/>
      <c r="G827" s="24"/>
      <c r="H827" s="24"/>
      <c r="I827" s="24"/>
      <c r="J827" s="24"/>
      <c r="K827" s="24"/>
      <c r="M827" s="24"/>
      <c r="W827" s="24"/>
    </row>
    <row r="828" spans="1:23" ht="12.75" x14ac:dyDescent="0.2">
      <c r="A828" s="21"/>
      <c r="B828" s="22"/>
      <c r="C828" s="22"/>
      <c r="D828" s="23"/>
      <c r="G828" s="24"/>
      <c r="H828" s="24"/>
      <c r="I828" s="24"/>
      <c r="J828" s="24"/>
      <c r="K828" s="24"/>
      <c r="M828" s="24"/>
      <c r="W828" s="24"/>
    </row>
    <row r="829" spans="1:23" ht="12.75" x14ac:dyDescent="0.2">
      <c r="A829" s="21"/>
      <c r="B829" s="22"/>
      <c r="C829" s="22"/>
      <c r="D829" s="23"/>
      <c r="G829" s="24"/>
      <c r="H829" s="24"/>
      <c r="I829" s="24"/>
      <c r="J829" s="24"/>
      <c r="K829" s="24"/>
      <c r="M829" s="24"/>
      <c r="W829" s="24"/>
    </row>
    <row r="830" spans="1:23" ht="12.75" x14ac:dyDescent="0.2">
      <c r="A830" s="21"/>
      <c r="B830" s="22"/>
      <c r="C830" s="22"/>
      <c r="D830" s="23"/>
      <c r="G830" s="24"/>
      <c r="H830" s="24"/>
      <c r="I830" s="24"/>
      <c r="J830" s="24"/>
      <c r="K830" s="24"/>
      <c r="M830" s="24"/>
      <c r="W830" s="24"/>
    </row>
    <row r="831" spans="1:23" ht="12.75" x14ac:dyDescent="0.2">
      <c r="A831" s="21"/>
      <c r="B831" s="22"/>
      <c r="C831" s="22"/>
      <c r="D831" s="23"/>
      <c r="G831" s="24"/>
      <c r="H831" s="24"/>
      <c r="I831" s="24"/>
      <c r="J831" s="24"/>
      <c r="K831" s="24"/>
      <c r="M831" s="24"/>
      <c r="W831" s="24"/>
    </row>
    <row r="832" spans="1:23" ht="12.75" x14ac:dyDescent="0.2">
      <c r="A832" s="21"/>
      <c r="B832" s="22"/>
      <c r="C832" s="22"/>
      <c r="D832" s="23"/>
      <c r="G832" s="24"/>
      <c r="H832" s="24"/>
      <c r="I832" s="24"/>
      <c r="J832" s="24"/>
      <c r="K832" s="24"/>
      <c r="M832" s="24"/>
      <c r="W832" s="24"/>
    </row>
    <row r="833" spans="1:23" ht="12.75" x14ac:dyDescent="0.2">
      <c r="A833" s="21"/>
      <c r="B833" s="22"/>
      <c r="C833" s="22"/>
      <c r="D833" s="23"/>
      <c r="G833" s="24"/>
      <c r="H833" s="24"/>
      <c r="I833" s="24"/>
      <c r="J833" s="24"/>
      <c r="K833" s="24"/>
      <c r="M833" s="24"/>
      <c r="W833" s="24"/>
    </row>
    <row r="834" spans="1:23" ht="12.75" x14ac:dyDescent="0.2">
      <c r="A834" s="21"/>
      <c r="B834" s="22"/>
      <c r="C834" s="22"/>
      <c r="D834" s="23"/>
      <c r="G834" s="24"/>
      <c r="H834" s="24"/>
      <c r="I834" s="24"/>
      <c r="J834" s="24"/>
      <c r="K834" s="24"/>
      <c r="M834" s="24"/>
      <c r="W834" s="24"/>
    </row>
    <row r="835" spans="1:23" ht="12.75" x14ac:dyDescent="0.2">
      <c r="A835" s="21"/>
      <c r="B835" s="22"/>
      <c r="C835" s="22"/>
      <c r="D835" s="23"/>
      <c r="G835" s="24"/>
      <c r="H835" s="24"/>
      <c r="I835" s="24"/>
      <c r="J835" s="24"/>
      <c r="K835" s="24"/>
      <c r="M835" s="24"/>
      <c r="W835" s="24"/>
    </row>
    <row r="836" spans="1:23" ht="12.75" x14ac:dyDescent="0.2">
      <c r="A836" s="21"/>
      <c r="B836" s="22"/>
      <c r="C836" s="22"/>
      <c r="D836" s="23"/>
      <c r="G836" s="24"/>
      <c r="H836" s="24"/>
      <c r="I836" s="24"/>
      <c r="J836" s="24"/>
      <c r="K836" s="24"/>
      <c r="M836" s="24"/>
      <c r="W836" s="24"/>
    </row>
    <row r="837" spans="1:23" ht="12.75" x14ac:dyDescent="0.2">
      <c r="A837" s="21"/>
      <c r="B837" s="22"/>
      <c r="C837" s="22"/>
      <c r="D837" s="23"/>
      <c r="G837" s="24"/>
      <c r="H837" s="24"/>
      <c r="I837" s="24"/>
      <c r="J837" s="24"/>
      <c r="K837" s="24"/>
      <c r="M837" s="24"/>
      <c r="W837" s="24"/>
    </row>
    <row r="838" spans="1:23" ht="12.75" x14ac:dyDescent="0.2">
      <c r="A838" s="21"/>
      <c r="B838" s="22"/>
      <c r="C838" s="22"/>
      <c r="D838" s="23"/>
      <c r="G838" s="24"/>
      <c r="H838" s="24"/>
      <c r="I838" s="24"/>
      <c r="J838" s="24"/>
      <c r="K838" s="24"/>
      <c r="M838" s="24"/>
      <c r="W838" s="24"/>
    </row>
    <row r="839" spans="1:23" ht="12.75" x14ac:dyDescent="0.2">
      <c r="A839" s="21"/>
      <c r="B839" s="22"/>
      <c r="C839" s="22"/>
      <c r="D839" s="23"/>
      <c r="G839" s="24"/>
      <c r="H839" s="24"/>
      <c r="I839" s="24"/>
      <c r="J839" s="24"/>
      <c r="K839" s="24"/>
      <c r="M839" s="24"/>
      <c r="W839" s="24"/>
    </row>
    <row r="840" spans="1:23" ht="12.75" x14ac:dyDescent="0.2">
      <c r="A840" s="21"/>
      <c r="B840" s="22"/>
      <c r="C840" s="22"/>
      <c r="D840" s="23"/>
      <c r="G840" s="24"/>
      <c r="H840" s="24"/>
      <c r="I840" s="24"/>
      <c r="J840" s="24"/>
      <c r="K840" s="24"/>
      <c r="M840" s="24"/>
      <c r="W840" s="24"/>
    </row>
    <row r="841" spans="1:23" ht="12.75" x14ac:dyDescent="0.2">
      <c r="A841" s="21"/>
      <c r="B841" s="22"/>
      <c r="C841" s="22"/>
      <c r="D841" s="23"/>
      <c r="G841" s="24"/>
      <c r="H841" s="24"/>
      <c r="I841" s="24"/>
      <c r="J841" s="24"/>
      <c r="K841" s="24"/>
      <c r="M841" s="24"/>
      <c r="W841" s="24"/>
    </row>
    <row r="842" spans="1:23" ht="12.75" x14ac:dyDescent="0.2">
      <c r="A842" s="21"/>
      <c r="B842" s="22"/>
      <c r="C842" s="22"/>
      <c r="D842" s="23"/>
      <c r="G842" s="24"/>
      <c r="H842" s="24"/>
      <c r="I842" s="24"/>
      <c r="J842" s="24"/>
      <c r="K842" s="24"/>
      <c r="M842" s="24"/>
      <c r="W842" s="24"/>
    </row>
    <row r="843" spans="1:23" ht="12.75" x14ac:dyDescent="0.2">
      <c r="A843" s="21"/>
      <c r="B843" s="22"/>
      <c r="C843" s="22"/>
      <c r="D843" s="23"/>
      <c r="G843" s="24"/>
      <c r="H843" s="24"/>
      <c r="I843" s="24"/>
      <c r="J843" s="24"/>
      <c r="K843" s="24"/>
      <c r="M843" s="24"/>
      <c r="W843" s="24"/>
    </row>
    <row r="844" spans="1:23" ht="12.75" x14ac:dyDescent="0.2">
      <c r="A844" s="21"/>
      <c r="B844" s="22"/>
      <c r="C844" s="22"/>
      <c r="D844" s="23"/>
      <c r="G844" s="24"/>
      <c r="H844" s="24"/>
      <c r="I844" s="24"/>
      <c r="J844" s="24"/>
      <c r="K844" s="24"/>
      <c r="M844" s="24"/>
      <c r="W844" s="24"/>
    </row>
    <row r="845" spans="1:23" ht="12.75" x14ac:dyDescent="0.2">
      <c r="A845" s="21"/>
      <c r="B845" s="22"/>
      <c r="C845" s="22"/>
      <c r="D845" s="23"/>
      <c r="G845" s="24"/>
      <c r="H845" s="24"/>
      <c r="I845" s="24"/>
      <c r="J845" s="24"/>
      <c r="K845" s="24"/>
      <c r="M845" s="24"/>
      <c r="W845" s="24"/>
    </row>
    <row r="846" spans="1:23" ht="12.75" x14ac:dyDescent="0.2">
      <c r="A846" s="21"/>
      <c r="B846" s="22"/>
      <c r="C846" s="22"/>
      <c r="D846" s="23"/>
      <c r="G846" s="24"/>
      <c r="H846" s="24"/>
      <c r="I846" s="24"/>
      <c r="J846" s="24"/>
      <c r="K846" s="24"/>
      <c r="M846" s="24"/>
      <c r="W846" s="24"/>
    </row>
    <row r="847" spans="1:23" ht="12.75" x14ac:dyDescent="0.2">
      <c r="A847" s="21"/>
      <c r="B847" s="22"/>
      <c r="C847" s="22"/>
      <c r="D847" s="23"/>
      <c r="G847" s="24"/>
      <c r="H847" s="24"/>
      <c r="I847" s="24"/>
      <c r="J847" s="24"/>
      <c r="K847" s="24"/>
      <c r="M847" s="24"/>
      <c r="W847" s="24"/>
    </row>
    <row r="848" spans="1:23" ht="12.75" x14ac:dyDescent="0.2">
      <c r="A848" s="21"/>
      <c r="B848" s="22"/>
      <c r="C848" s="22"/>
      <c r="D848" s="23"/>
      <c r="G848" s="24"/>
      <c r="H848" s="24"/>
      <c r="I848" s="24"/>
      <c r="J848" s="24"/>
      <c r="K848" s="24"/>
      <c r="M848" s="24"/>
      <c r="W848" s="24"/>
    </row>
    <row r="849" spans="1:23" ht="12.75" x14ac:dyDescent="0.2">
      <c r="A849" s="21"/>
      <c r="B849" s="22"/>
      <c r="C849" s="22"/>
      <c r="D849" s="23"/>
      <c r="G849" s="24"/>
      <c r="H849" s="24"/>
      <c r="I849" s="24"/>
      <c r="J849" s="24"/>
      <c r="K849" s="24"/>
      <c r="M849" s="24"/>
      <c r="W849" s="24"/>
    </row>
    <row r="850" spans="1:23" ht="12.75" x14ac:dyDescent="0.2">
      <c r="A850" s="21"/>
      <c r="B850" s="22"/>
      <c r="C850" s="22"/>
      <c r="D850" s="23"/>
      <c r="G850" s="24"/>
      <c r="H850" s="24"/>
      <c r="I850" s="24"/>
      <c r="J850" s="24"/>
      <c r="K850" s="24"/>
      <c r="M850" s="24"/>
      <c r="W850" s="24"/>
    </row>
    <row r="851" spans="1:23" ht="12.75" x14ac:dyDescent="0.2">
      <c r="A851" s="21"/>
      <c r="B851" s="22"/>
      <c r="C851" s="22"/>
      <c r="D851" s="23"/>
      <c r="G851" s="24"/>
      <c r="H851" s="24"/>
      <c r="I851" s="24"/>
      <c r="J851" s="24"/>
      <c r="K851" s="24"/>
      <c r="M851" s="24"/>
      <c r="W851" s="24"/>
    </row>
    <row r="852" spans="1:23" ht="12.75" x14ac:dyDescent="0.2">
      <c r="A852" s="21"/>
      <c r="B852" s="22"/>
      <c r="C852" s="22"/>
      <c r="D852" s="23"/>
      <c r="G852" s="24"/>
      <c r="H852" s="24"/>
      <c r="I852" s="24"/>
      <c r="J852" s="24"/>
      <c r="K852" s="24"/>
      <c r="M852" s="24"/>
      <c r="W852" s="24"/>
    </row>
    <row r="853" spans="1:23" ht="12.75" x14ac:dyDescent="0.2">
      <c r="A853" s="21"/>
      <c r="B853" s="22"/>
      <c r="C853" s="22"/>
      <c r="D853" s="23"/>
      <c r="G853" s="24"/>
      <c r="H853" s="24"/>
      <c r="I853" s="24"/>
      <c r="J853" s="24"/>
      <c r="K853" s="24"/>
      <c r="M853" s="24"/>
      <c r="W853" s="24"/>
    </row>
    <row r="854" spans="1:23" ht="12.75" x14ac:dyDescent="0.2">
      <c r="A854" s="21"/>
      <c r="B854" s="22"/>
      <c r="C854" s="22"/>
      <c r="D854" s="23"/>
      <c r="G854" s="24"/>
      <c r="H854" s="24"/>
      <c r="I854" s="24"/>
      <c r="J854" s="24"/>
      <c r="K854" s="24"/>
      <c r="M854" s="24"/>
      <c r="W854" s="24"/>
    </row>
    <row r="855" spans="1:23" ht="12.75" x14ac:dyDescent="0.2">
      <c r="A855" s="21"/>
      <c r="B855" s="22"/>
      <c r="C855" s="22"/>
      <c r="D855" s="23"/>
      <c r="G855" s="24"/>
      <c r="H855" s="24"/>
      <c r="I855" s="24"/>
      <c r="J855" s="24"/>
      <c r="K855" s="24"/>
      <c r="M855" s="24"/>
      <c r="W855" s="24"/>
    </row>
    <row r="856" spans="1:23" ht="12.75" x14ac:dyDescent="0.2">
      <c r="A856" s="21"/>
      <c r="B856" s="22"/>
      <c r="C856" s="22"/>
      <c r="D856" s="23"/>
      <c r="G856" s="24"/>
      <c r="H856" s="24"/>
      <c r="I856" s="24"/>
      <c r="J856" s="24"/>
      <c r="K856" s="24"/>
      <c r="M856" s="24"/>
      <c r="W856" s="24"/>
    </row>
    <row r="857" spans="1:23" ht="12.75" x14ac:dyDescent="0.2">
      <c r="A857" s="21"/>
      <c r="B857" s="22"/>
      <c r="C857" s="22"/>
      <c r="D857" s="23"/>
      <c r="G857" s="24"/>
      <c r="H857" s="24"/>
      <c r="I857" s="24"/>
      <c r="J857" s="24"/>
      <c r="K857" s="24"/>
      <c r="M857" s="24"/>
      <c r="W857" s="24"/>
    </row>
    <row r="858" spans="1:23" ht="12.75" x14ac:dyDescent="0.2">
      <c r="A858" s="21"/>
      <c r="B858" s="22"/>
      <c r="C858" s="22"/>
      <c r="D858" s="23"/>
      <c r="G858" s="24"/>
      <c r="H858" s="24"/>
      <c r="I858" s="24"/>
      <c r="J858" s="24"/>
      <c r="K858" s="24"/>
      <c r="M858" s="24"/>
      <c r="W858" s="24"/>
    </row>
    <row r="859" spans="1:23" ht="12.75" x14ac:dyDescent="0.2">
      <c r="A859" s="21"/>
      <c r="B859" s="22"/>
      <c r="C859" s="22"/>
      <c r="D859" s="23"/>
      <c r="G859" s="24"/>
      <c r="H859" s="24"/>
      <c r="I859" s="24"/>
      <c r="J859" s="24"/>
      <c r="K859" s="24"/>
      <c r="M859" s="24"/>
      <c r="W859" s="24"/>
    </row>
    <row r="860" spans="1:23" ht="12.75" x14ac:dyDescent="0.2">
      <c r="A860" s="21"/>
      <c r="B860" s="22"/>
      <c r="C860" s="22"/>
      <c r="D860" s="23"/>
      <c r="G860" s="24"/>
      <c r="H860" s="24"/>
      <c r="I860" s="24"/>
      <c r="J860" s="24"/>
      <c r="K860" s="24"/>
      <c r="M860" s="24"/>
      <c r="W860" s="24"/>
    </row>
    <row r="861" spans="1:23" ht="12.75" x14ac:dyDescent="0.2">
      <c r="A861" s="21"/>
      <c r="B861" s="22"/>
      <c r="C861" s="22"/>
      <c r="D861" s="23"/>
      <c r="G861" s="24"/>
      <c r="H861" s="24"/>
      <c r="I861" s="24"/>
      <c r="J861" s="24"/>
      <c r="K861" s="24"/>
      <c r="M861" s="24"/>
      <c r="W861" s="24"/>
    </row>
    <row r="862" spans="1:23" ht="12.75" x14ac:dyDescent="0.2">
      <c r="A862" s="21"/>
      <c r="B862" s="22"/>
      <c r="C862" s="22"/>
      <c r="D862" s="23"/>
      <c r="G862" s="24"/>
      <c r="H862" s="24"/>
      <c r="I862" s="24"/>
      <c r="J862" s="24"/>
      <c r="K862" s="24"/>
      <c r="M862" s="24"/>
      <c r="W862" s="24"/>
    </row>
    <row r="863" spans="1:23" ht="12.75" x14ac:dyDescent="0.2">
      <c r="A863" s="21"/>
      <c r="B863" s="22"/>
      <c r="C863" s="22"/>
      <c r="D863" s="23"/>
      <c r="G863" s="24"/>
      <c r="H863" s="24"/>
      <c r="I863" s="24"/>
      <c r="J863" s="24"/>
      <c r="K863" s="24"/>
      <c r="M863" s="24"/>
      <c r="W863" s="24"/>
    </row>
    <row r="864" spans="1:23" ht="12.75" x14ac:dyDescent="0.2">
      <c r="A864" s="21"/>
      <c r="B864" s="22"/>
      <c r="C864" s="22"/>
      <c r="D864" s="23"/>
      <c r="G864" s="24"/>
      <c r="H864" s="24"/>
      <c r="I864" s="24"/>
      <c r="J864" s="24"/>
      <c r="K864" s="24"/>
      <c r="M864" s="24"/>
      <c r="W864" s="24"/>
    </row>
    <row r="865" spans="1:23" ht="12.75" x14ac:dyDescent="0.2">
      <c r="A865" s="21"/>
      <c r="B865" s="22"/>
      <c r="C865" s="22"/>
      <c r="D865" s="23"/>
      <c r="G865" s="24"/>
      <c r="H865" s="24"/>
      <c r="I865" s="24"/>
      <c r="J865" s="24"/>
      <c r="K865" s="24"/>
      <c r="M865" s="24"/>
      <c r="W865" s="24"/>
    </row>
    <row r="866" spans="1:23" ht="12.75" x14ac:dyDescent="0.2">
      <c r="A866" s="21"/>
      <c r="B866" s="22"/>
      <c r="C866" s="22"/>
      <c r="D866" s="23"/>
      <c r="G866" s="24"/>
      <c r="H866" s="24"/>
      <c r="I866" s="24"/>
      <c r="J866" s="24"/>
      <c r="K866" s="24"/>
      <c r="M866" s="24"/>
      <c r="W866" s="24"/>
    </row>
    <row r="867" spans="1:23" ht="12.75" x14ac:dyDescent="0.2">
      <c r="A867" s="21"/>
      <c r="B867" s="22"/>
      <c r="C867" s="22"/>
      <c r="D867" s="23"/>
      <c r="G867" s="24"/>
      <c r="H867" s="24"/>
      <c r="I867" s="24"/>
      <c r="J867" s="24"/>
      <c r="K867" s="24"/>
      <c r="M867" s="24"/>
      <c r="W867" s="24"/>
    </row>
    <row r="868" spans="1:23" ht="12.75" x14ac:dyDescent="0.2">
      <c r="A868" s="21"/>
      <c r="B868" s="22"/>
      <c r="C868" s="22"/>
      <c r="D868" s="23"/>
      <c r="G868" s="24"/>
      <c r="H868" s="24"/>
      <c r="I868" s="24"/>
      <c r="J868" s="24"/>
      <c r="K868" s="24"/>
      <c r="M868" s="24"/>
      <c r="W868" s="24"/>
    </row>
    <row r="869" spans="1:23" ht="12.75" x14ac:dyDescent="0.2">
      <c r="A869" s="21"/>
      <c r="B869" s="22"/>
      <c r="C869" s="22"/>
      <c r="D869" s="23"/>
      <c r="G869" s="24"/>
      <c r="H869" s="24"/>
      <c r="I869" s="24"/>
      <c r="J869" s="24"/>
      <c r="K869" s="24"/>
      <c r="M869" s="24"/>
      <c r="W869" s="24"/>
    </row>
    <row r="870" spans="1:23" ht="12.75" x14ac:dyDescent="0.2">
      <c r="A870" s="21"/>
      <c r="B870" s="22"/>
      <c r="C870" s="22"/>
      <c r="D870" s="23"/>
      <c r="G870" s="24"/>
      <c r="H870" s="24"/>
      <c r="I870" s="24"/>
      <c r="J870" s="24"/>
      <c r="K870" s="24"/>
      <c r="M870" s="24"/>
      <c r="W870" s="24"/>
    </row>
    <row r="871" spans="1:23" ht="12.75" x14ac:dyDescent="0.2">
      <c r="A871" s="21"/>
      <c r="B871" s="22"/>
      <c r="C871" s="22"/>
      <c r="D871" s="23"/>
      <c r="G871" s="24"/>
      <c r="H871" s="24"/>
      <c r="I871" s="24"/>
      <c r="J871" s="24"/>
      <c r="K871" s="24"/>
      <c r="M871" s="24"/>
      <c r="W871" s="24"/>
    </row>
    <row r="872" spans="1:23" ht="12.75" x14ac:dyDescent="0.2">
      <c r="A872" s="21"/>
      <c r="B872" s="22"/>
      <c r="C872" s="22"/>
      <c r="D872" s="23"/>
      <c r="G872" s="24"/>
      <c r="H872" s="24"/>
      <c r="I872" s="24"/>
      <c r="J872" s="24"/>
      <c r="K872" s="24"/>
      <c r="M872" s="24"/>
      <c r="W872" s="24"/>
    </row>
    <row r="873" spans="1:23" ht="12.75" x14ac:dyDescent="0.2">
      <c r="A873" s="21"/>
      <c r="B873" s="22"/>
      <c r="C873" s="22"/>
      <c r="D873" s="23"/>
      <c r="G873" s="24"/>
      <c r="H873" s="24"/>
      <c r="I873" s="24"/>
      <c r="J873" s="24"/>
      <c r="K873" s="24"/>
      <c r="M873" s="24"/>
      <c r="W873" s="24"/>
    </row>
    <row r="874" spans="1:23" ht="12.75" x14ac:dyDescent="0.2">
      <c r="A874" s="21"/>
      <c r="B874" s="22"/>
      <c r="C874" s="22"/>
      <c r="D874" s="23"/>
      <c r="G874" s="24"/>
      <c r="H874" s="24"/>
      <c r="I874" s="24"/>
      <c r="J874" s="24"/>
      <c r="K874" s="24"/>
      <c r="M874" s="24"/>
      <c r="W874" s="24"/>
    </row>
    <row r="875" spans="1:23" ht="12.75" x14ac:dyDescent="0.2">
      <c r="A875" s="21"/>
      <c r="B875" s="22"/>
      <c r="C875" s="22"/>
      <c r="D875" s="23"/>
      <c r="G875" s="24"/>
      <c r="H875" s="24"/>
      <c r="I875" s="24"/>
      <c r="J875" s="24"/>
      <c r="K875" s="24"/>
      <c r="M875" s="24"/>
      <c r="W875" s="24"/>
    </row>
    <row r="876" spans="1:23" ht="12.75" x14ac:dyDescent="0.2">
      <c r="A876" s="21"/>
      <c r="B876" s="22"/>
      <c r="C876" s="22"/>
      <c r="D876" s="23"/>
      <c r="G876" s="24"/>
      <c r="H876" s="24"/>
      <c r="I876" s="24"/>
      <c r="J876" s="24"/>
      <c r="K876" s="24"/>
      <c r="M876" s="24"/>
      <c r="W876" s="24"/>
    </row>
    <row r="877" spans="1:23" ht="12.75" x14ac:dyDescent="0.2">
      <c r="A877" s="21"/>
      <c r="B877" s="22"/>
      <c r="C877" s="22"/>
      <c r="D877" s="23"/>
      <c r="G877" s="24"/>
      <c r="H877" s="24"/>
      <c r="I877" s="24"/>
      <c r="J877" s="24"/>
      <c r="K877" s="24"/>
      <c r="M877" s="24"/>
      <c r="W877" s="24"/>
    </row>
    <row r="878" spans="1:23" ht="12.75" x14ac:dyDescent="0.2">
      <c r="A878" s="21"/>
      <c r="B878" s="22"/>
      <c r="C878" s="22"/>
      <c r="D878" s="23"/>
      <c r="G878" s="24"/>
      <c r="H878" s="24"/>
      <c r="I878" s="24"/>
      <c r="J878" s="24"/>
      <c r="K878" s="24"/>
      <c r="M878" s="24"/>
      <c r="W878" s="24"/>
    </row>
    <row r="879" spans="1:23" ht="12.75" x14ac:dyDescent="0.2">
      <c r="A879" s="21"/>
      <c r="B879" s="22"/>
      <c r="C879" s="22"/>
      <c r="D879" s="23"/>
      <c r="G879" s="24"/>
      <c r="H879" s="24"/>
      <c r="I879" s="24"/>
      <c r="J879" s="24"/>
      <c r="K879" s="24"/>
      <c r="M879" s="24"/>
      <c r="W879" s="24"/>
    </row>
    <row r="880" spans="1:23" ht="12.75" x14ac:dyDescent="0.2">
      <c r="A880" s="21"/>
      <c r="B880" s="22"/>
      <c r="C880" s="22"/>
      <c r="D880" s="23"/>
      <c r="G880" s="24"/>
      <c r="H880" s="24"/>
      <c r="I880" s="24"/>
      <c r="J880" s="24"/>
      <c r="K880" s="24"/>
      <c r="M880" s="24"/>
      <c r="W880" s="24"/>
    </row>
    <row r="881" spans="1:23" ht="12.75" x14ac:dyDescent="0.2">
      <c r="A881" s="21"/>
      <c r="B881" s="22"/>
      <c r="C881" s="22"/>
      <c r="D881" s="23"/>
      <c r="G881" s="24"/>
      <c r="H881" s="24"/>
      <c r="I881" s="24"/>
      <c r="J881" s="24"/>
      <c r="K881" s="24"/>
      <c r="M881" s="24"/>
      <c r="W881" s="24"/>
    </row>
    <row r="882" spans="1:23" ht="12.75" x14ac:dyDescent="0.2">
      <c r="A882" s="21"/>
      <c r="B882" s="22"/>
      <c r="C882" s="22"/>
      <c r="D882" s="23"/>
      <c r="G882" s="24"/>
      <c r="H882" s="24"/>
      <c r="I882" s="24"/>
      <c r="J882" s="24"/>
      <c r="K882" s="24"/>
      <c r="M882" s="24"/>
      <c r="W882" s="24"/>
    </row>
    <row r="883" spans="1:23" ht="12.75" x14ac:dyDescent="0.2">
      <c r="A883" s="21"/>
      <c r="B883" s="22"/>
      <c r="C883" s="22"/>
      <c r="D883" s="23"/>
      <c r="G883" s="24"/>
      <c r="H883" s="24"/>
      <c r="I883" s="24"/>
      <c r="J883" s="24"/>
      <c r="K883" s="24"/>
      <c r="M883" s="24"/>
      <c r="W883" s="24"/>
    </row>
    <row r="884" spans="1:23" ht="12.75" x14ac:dyDescent="0.2">
      <c r="A884" s="21"/>
      <c r="B884" s="22"/>
      <c r="C884" s="22"/>
      <c r="D884" s="23"/>
      <c r="G884" s="24"/>
      <c r="H884" s="24"/>
      <c r="I884" s="24"/>
      <c r="J884" s="24"/>
      <c r="K884" s="24"/>
      <c r="M884" s="24"/>
      <c r="W884" s="24"/>
    </row>
    <row r="885" spans="1:23" ht="12.75" x14ac:dyDescent="0.2">
      <c r="A885" s="21"/>
      <c r="B885" s="22"/>
      <c r="C885" s="22"/>
      <c r="D885" s="23"/>
      <c r="G885" s="24"/>
      <c r="H885" s="24"/>
      <c r="I885" s="24"/>
      <c r="J885" s="24"/>
      <c r="K885" s="24"/>
      <c r="M885" s="24"/>
      <c r="W885" s="24"/>
    </row>
    <row r="886" spans="1:23" ht="12.75" x14ac:dyDescent="0.2">
      <c r="A886" s="21"/>
      <c r="B886" s="22"/>
      <c r="C886" s="22"/>
      <c r="D886" s="23"/>
      <c r="G886" s="24"/>
      <c r="H886" s="24"/>
      <c r="I886" s="24"/>
      <c r="J886" s="24"/>
      <c r="K886" s="24"/>
      <c r="M886" s="24"/>
      <c r="W886" s="24"/>
    </row>
    <row r="887" spans="1:23" ht="12.75" x14ac:dyDescent="0.2">
      <c r="A887" s="21"/>
      <c r="B887" s="22"/>
      <c r="C887" s="22"/>
      <c r="D887" s="23"/>
      <c r="G887" s="24"/>
      <c r="H887" s="24"/>
      <c r="I887" s="24"/>
      <c r="J887" s="24"/>
      <c r="K887" s="24"/>
      <c r="M887" s="24"/>
      <c r="W887" s="24"/>
    </row>
    <row r="888" spans="1:23" ht="12.75" x14ac:dyDescent="0.2">
      <c r="A888" s="21"/>
      <c r="B888" s="22"/>
      <c r="C888" s="22"/>
      <c r="D888" s="23"/>
      <c r="G888" s="24"/>
      <c r="H888" s="24"/>
      <c r="I888" s="24"/>
      <c r="J888" s="24"/>
      <c r="K888" s="24"/>
      <c r="M888" s="24"/>
      <c r="W888" s="24"/>
    </row>
    <row r="889" spans="1:23" ht="12.75" x14ac:dyDescent="0.2">
      <c r="A889" s="21"/>
      <c r="B889" s="22"/>
      <c r="C889" s="22"/>
      <c r="D889" s="23"/>
      <c r="G889" s="24"/>
      <c r="H889" s="24"/>
      <c r="I889" s="24"/>
      <c r="J889" s="24"/>
      <c r="K889" s="24"/>
      <c r="M889" s="24"/>
      <c r="W889" s="24"/>
    </row>
    <row r="890" spans="1:23" ht="12.75" x14ac:dyDescent="0.2">
      <c r="A890" s="21"/>
      <c r="B890" s="22"/>
      <c r="C890" s="22"/>
      <c r="D890" s="23"/>
      <c r="G890" s="24"/>
      <c r="H890" s="24"/>
      <c r="I890" s="24"/>
      <c r="J890" s="24"/>
      <c r="K890" s="24"/>
      <c r="M890" s="24"/>
      <c r="W890" s="24"/>
    </row>
    <row r="891" spans="1:23" ht="12.75" x14ac:dyDescent="0.2">
      <c r="A891" s="21"/>
      <c r="B891" s="22"/>
      <c r="C891" s="22"/>
      <c r="D891" s="23"/>
      <c r="G891" s="24"/>
      <c r="H891" s="24"/>
      <c r="I891" s="24"/>
      <c r="J891" s="24"/>
      <c r="K891" s="24"/>
      <c r="M891" s="24"/>
      <c r="W891" s="24"/>
    </row>
    <row r="892" spans="1:23" ht="12.75" x14ac:dyDescent="0.2">
      <c r="A892" s="21"/>
      <c r="B892" s="22"/>
      <c r="C892" s="22"/>
      <c r="D892" s="23"/>
      <c r="G892" s="24"/>
      <c r="H892" s="24"/>
      <c r="I892" s="24"/>
      <c r="J892" s="24"/>
      <c r="K892" s="24"/>
      <c r="M892" s="24"/>
      <c r="W892" s="24"/>
    </row>
    <row r="893" spans="1:23" ht="12.75" x14ac:dyDescent="0.2">
      <c r="A893" s="21"/>
      <c r="B893" s="22"/>
      <c r="C893" s="22"/>
      <c r="D893" s="23"/>
      <c r="G893" s="24"/>
      <c r="H893" s="24"/>
      <c r="I893" s="24"/>
      <c r="J893" s="24"/>
      <c r="K893" s="24"/>
      <c r="M893" s="24"/>
      <c r="W893" s="24"/>
    </row>
    <row r="894" spans="1:23" ht="12.75" x14ac:dyDescent="0.2">
      <c r="A894" s="21"/>
      <c r="B894" s="22"/>
      <c r="C894" s="22"/>
      <c r="D894" s="23"/>
      <c r="G894" s="24"/>
      <c r="H894" s="24"/>
      <c r="I894" s="24"/>
      <c r="J894" s="24"/>
      <c r="K894" s="24"/>
      <c r="M894" s="24"/>
      <c r="W894" s="24"/>
    </row>
    <row r="895" spans="1:23" ht="12.75" x14ac:dyDescent="0.2">
      <c r="A895" s="21"/>
      <c r="B895" s="22"/>
      <c r="C895" s="22"/>
      <c r="D895" s="23"/>
      <c r="G895" s="24"/>
      <c r="H895" s="24"/>
      <c r="I895" s="24"/>
      <c r="J895" s="24"/>
      <c r="K895" s="24"/>
      <c r="M895" s="24"/>
      <c r="W895" s="24"/>
    </row>
    <row r="896" spans="1:23" ht="12.75" x14ac:dyDescent="0.2">
      <c r="A896" s="21"/>
      <c r="B896" s="22"/>
      <c r="C896" s="22"/>
      <c r="D896" s="23"/>
      <c r="G896" s="24"/>
      <c r="H896" s="24"/>
      <c r="I896" s="24"/>
      <c r="J896" s="24"/>
      <c r="K896" s="24"/>
      <c r="M896" s="24"/>
      <c r="W896" s="24"/>
    </row>
    <row r="897" spans="1:23" ht="12.75" x14ac:dyDescent="0.2">
      <c r="A897" s="21"/>
      <c r="B897" s="22"/>
      <c r="C897" s="22"/>
      <c r="D897" s="23"/>
      <c r="G897" s="24"/>
      <c r="H897" s="24"/>
      <c r="I897" s="24"/>
      <c r="J897" s="24"/>
      <c r="K897" s="24"/>
      <c r="M897" s="24"/>
      <c r="W897" s="24"/>
    </row>
    <row r="898" spans="1:23" ht="12.75" x14ac:dyDescent="0.2">
      <c r="A898" s="21"/>
      <c r="B898" s="22"/>
      <c r="C898" s="22"/>
      <c r="D898" s="23"/>
      <c r="G898" s="24"/>
      <c r="H898" s="24"/>
      <c r="I898" s="24"/>
      <c r="J898" s="24"/>
      <c r="K898" s="24"/>
      <c r="M898" s="24"/>
      <c r="W898" s="24"/>
    </row>
    <row r="899" spans="1:23" ht="12.75" x14ac:dyDescent="0.2">
      <c r="A899" s="21"/>
      <c r="B899" s="22"/>
      <c r="C899" s="22"/>
      <c r="D899" s="23"/>
      <c r="G899" s="24"/>
      <c r="H899" s="24"/>
      <c r="I899" s="24"/>
      <c r="J899" s="24"/>
      <c r="K899" s="24"/>
      <c r="M899" s="24"/>
      <c r="W899" s="24"/>
    </row>
    <row r="900" spans="1:23" ht="12.75" x14ac:dyDescent="0.2">
      <c r="A900" s="21"/>
      <c r="B900" s="22"/>
      <c r="C900" s="22"/>
      <c r="D900" s="23"/>
      <c r="G900" s="24"/>
      <c r="H900" s="24"/>
      <c r="I900" s="24"/>
      <c r="J900" s="24"/>
      <c r="K900" s="24"/>
      <c r="M900" s="24"/>
      <c r="W900" s="24"/>
    </row>
    <row r="901" spans="1:23" ht="12.75" x14ac:dyDescent="0.2">
      <c r="A901" s="21"/>
      <c r="B901" s="22"/>
      <c r="C901" s="22"/>
      <c r="D901" s="23"/>
      <c r="G901" s="24"/>
      <c r="H901" s="24"/>
      <c r="I901" s="24"/>
      <c r="J901" s="24"/>
      <c r="K901" s="24"/>
      <c r="M901" s="24"/>
      <c r="W901" s="24"/>
    </row>
    <row r="902" spans="1:23" ht="12.75" x14ac:dyDescent="0.2">
      <c r="A902" s="21"/>
      <c r="B902" s="22"/>
      <c r="C902" s="22"/>
      <c r="D902" s="23"/>
      <c r="G902" s="24"/>
      <c r="H902" s="24"/>
      <c r="I902" s="24"/>
      <c r="J902" s="24"/>
      <c r="K902" s="24"/>
      <c r="M902" s="24"/>
      <c r="W902" s="24"/>
    </row>
    <row r="903" spans="1:23" ht="12.75" x14ac:dyDescent="0.2">
      <c r="A903" s="21"/>
      <c r="B903" s="22"/>
      <c r="C903" s="22"/>
      <c r="D903" s="23"/>
      <c r="G903" s="24"/>
      <c r="H903" s="24"/>
      <c r="I903" s="24"/>
      <c r="J903" s="24"/>
      <c r="K903" s="24"/>
      <c r="M903" s="24"/>
      <c r="W903" s="24"/>
    </row>
    <row r="904" spans="1:23" ht="12.75" x14ac:dyDescent="0.2">
      <c r="A904" s="21"/>
      <c r="B904" s="22"/>
      <c r="C904" s="22"/>
      <c r="D904" s="23"/>
      <c r="G904" s="24"/>
      <c r="H904" s="24"/>
      <c r="I904" s="24"/>
      <c r="J904" s="24"/>
      <c r="K904" s="24"/>
      <c r="M904" s="24"/>
      <c r="W904" s="24"/>
    </row>
    <row r="905" spans="1:23" ht="12.75" x14ac:dyDescent="0.2">
      <c r="A905" s="21"/>
      <c r="B905" s="22"/>
      <c r="C905" s="22"/>
      <c r="D905" s="23"/>
      <c r="G905" s="24"/>
      <c r="H905" s="24"/>
      <c r="I905" s="24"/>
      <c r="J905" s="24"/>
      <c r="K905" s="24"/>
      <c r="M905" s="24"/>
      <c r="W905" s="24"/>
    </row>
    <row r="906" spans="1:23" ht="12.75" x14ac:dyDescent="0.2">
      <c r="A906" s="21"/>
      <c r="B906" s="22"/>
      <c r="C906" s="22"/>
      <c r="D906" s="23"/>
      <c r="G906" s="24"/>
      <c r="H906" s="24"/>
      <c r="I906" s="24"/>
      <c r="J906" s="24"/>
      <c r="K906" s="24"/>
      <c r="M906" s="24"/>
      <c r="W906" s="24"/>
    </row>
    <row r="907" spans="1:23" ht="12.75" x14ac:dyDescent="0.2">
      <c r="A907" s="21"/>
      <c r="B907" s="22"/>
      <c r="C907" s="22"/>
      <c r="D907" s="23"/>
      <c r="G907" s="24"/>
      <c r="H907" s="24"/>
      <c r="I907" s="24"/>
      <c r="J907" s="24"/>
      <c r="K907" s="24"/>
      <c r="M907" s="24"/>
      <c r="W907" s="24"/>
    </row>
    <row r="908" spans="1:23" ht="12.75" x14ac:dyDescent="0.2">
      <c r="A908" s="21"/>
      <c r="B908" s="22"/>
      <c r="C908" s="22"/>
      <c r="D908" s="23"/>
      <c r="G908" s="24"/>
      <c r="H908" s="24"/>
      <c r="I908" s="24"/>
      <c r="J908" s="24"/>
      <c r="K908" s="24"/>
      <c r="M908" s="24"/>
      <c r="W908" s="24"/>
    </row>
    <row r="909" spans="1:23" ht="12.75" x14ac:dyDescent="0.2">
      <c r="A909" s="21"/>
      <c r="B909" s="22"/>
      <c r="C909" s="22"/>
      <c r="D909" s="23"/>
      <c r="G909" s="24"/>
      <c r="H909" s="24"/>
      <c r="I909" s="24"/>
      <c r="J909" s="24"/>
      <c r="K909" s="24"/>
      <c r="M909" s="24"/>
      <c r="W909" s="24"/>
    </row>
    <row r="910" spans="1:23" ht="12.75" x14ac:dyDescent="0.2">
      <c r="A910" s="21"/>
      <c r="B910" s="22"/>
      <c r="C910" s="22"/>
      <c r="D910" s="23"/>
      <c r="G910" s="24"/>
      <c r="H910" s="24"/>
      <c r="I910" s="24"/>
      <c r="J910" s="24"/>
      <c r="K910" s="24"/>
      <c r="M910" s="24"/>
      <c r="W910" s="24"/>
    </row>
    <row r="911" spans="1:23" ht="12.75" x14ac:dyDescent="0.2">
      <c r="A911" s="21"/>
      <c r="B911" s="22"/>
      <c r="C911" s="22"/>
      <c r="D911" s="23"/>
      <c r="G911" s="24"/>
      <c r="H911" s="24"/>
      <c r="I911" s="24"/>
      <c r="J911" s="24"/>
      <c r="K911" s="24"/>
      <c r="M911" s="24"/>
      <c r="W911" s="24"/>
    </row>
    <row r="912" spans="1:23" ht="12.75" x14ac:dyDescent="0.2">
      <c r="A912" s="21"/>
      <c r="B912" s="22"/>
      <c r="C912" s="22"/>
      <c r="D912" s="23"/>
      <c r="G912" s="24"/>
      <c r="H912" s="24"/>
      <c r="I912" s="24"/>
      <c r="J912" s="24"/>
      <c r="K912" s="24"/>
      <c r="M912" s="24"/>
      <c r="W912" s="24"/>
    </row>
    <row r="913" spans="1:23" ht="12.75" x14ac:dyDescent="0.2">
      <c r="A913" s="21"/>
      <c r="B913" s="22"/>
      <c r="C913" s="22"/>
      <c r="D913" s="23"/>
      <c r="G913" s="24"/>
      <c r="H913" s="24"/>
      <c r="I913" s="24"/>
      <c r="J913" s="24"/>
      <c r="K913" s="24"/>
      <c r="M913" s="24"/>
      <c r="W913" s="24"/>
    </row>
    <row r="914" spans="1:23" ht="12.75" x14ac:dyDescent="0.2">
      <c r="A914" s="21"/>
      <c r="B914" s="22"/>
      <c r="C914" s="22"/>
      <c r="D914" s="23"/>
      <c r="G914" s="24"/>
      <c r="H914" s="24"/>
      <c r="I914" s="24"/>
      <c r="J914" s="24"/>
      <c r="K914" s="24"/>
      <c r="M914" s="24"/>
      <c r="W914" s="24"/>
    </row>
    <row r="915" spans="1:23" ht="12.75" x14ac:dyDescent="0.2">
      <c r="A915" s="21"/>
      <c r="B915" s="22"/>
      <c r="C915" s="22"/>
      <c r="D915" s="23"/>
      <c r="G915" s="24"/>
      <c r="H915" s="24"/>
      <c r="I915" s="24"/>
      <c r="J915" s="24"/>
      <c r="K915" s="24"/>
      <c r="M915" s="24"/>
      <c r="W915" s="24"/>
    </row>
    <row r="916" spans="1:23" ht="12.75" x14ac:dyDescent="0.2">
      <c r="A916" s="21"/>
      <c r="B916" s="22"/>
      <c r="C916" s="22"/>
      <c r="D916" s="23"/>
      <c r="G916" s="24"/>
      <c r="H916" s="24"/>
      <c r="I916" s="24"/>
      <c r="J916" s="24"/>
      <c r="K916" s="24"/>
      <c r="M916" s="24"/>
      <c r="W916" s="24"/>
    </row>
    <row r="917" spans="1:23" ht="12.75" x14ac:dyDescent="0.2">
      <c r="A917" s="21"/>
      <c r="B917" s="22"/>
      <c r="C917" s="22"/>
      <c r="D917" s="23"/>
      <c r="G917" s="24"/>
      <c r="H917" s="24"/>
      <c r="I917" s="24"/>
      <c r="J917" s="24"/>
      <c r="K917" s="24"/>
      <c r="M917" s="24"/>
      <c r="W917" s="24"/>
    </row>
    <row r="918" spans="1:23" ht="12.75" x14ac:dyDescent="0.2">
      <c r="A918" s="21"/>
      <c r="B918" s="22"/>
      <c r="C918" s="22"/>
      <c r="D918" s="23"/>
      <c r="G918" s="24"/>
      <c r="H918" s="24"/>
      <c r="I918" s="24"/>
      <c r="J918" s="24"/>
      <c r="K918" s="24"/>
      <c r="M918" s="24"/>
      <c r="W918" s="24"/>
    </row>
    <row r="919" spans="1:23" ht="12.75" x14ac:dyDescent="0.2">
      <c r="A919" s="21"/>
      <c r="B919" s="22"/>
      <c r="C919" s="22"/>
      <c r="D919" s="23"/>
      <c r="G919" s="24"/>
      <c r="H919" s="24"/>
      <c r="I919" s="24"/>
      <c r="J919" s="24"/>
      <c r="K919" s="24"/>
      <c r="M919" s="24"/>
      <c r="W919" s="24"/>
    </row>
    <row r="920" spans="1:23" ht="12.75" x14ac:dyDescent="0.2">
      <c r="A920" s="21"/>
      <c r="B920" s="22"/>
      <c r="C920" s="22"/>
      <c r="D920" s="23"/>
      <c r="G920" s="24"/>
      <c r="H920" s="24"/>
      <c r="I920" s="24"/>
      <c r="J920" s="24"/>
      <c r="K920" s="24"/>
      <c r="M920" s="24"/>
      <c r="W920" s="24"/>
    </row>
    <row r="921" spans="1:23" ht="12.75" x14ac:dyDescent="0.2">
      <c r="A921" s="21"/>
      <c r="B921" s="22"/>
      <c r="C921" s="22"/>
      <c r="D921" s="23"/>
      <c r="G921" s="24"/>
      <c r="H921" s="24"/>
      <c r="I921" s="24"/>
      <c r="J921" s="24"/>
      <c r="K921" s="24"/>
      <c r="M921" s="24"/>
      <c r="W921" s="24"/>
    </row>
    <row r="922" spans="1:23" ht="12.75" x14ac:dyDescent="0.2">
      <c r="A922" s="21"/>
      <c r="B922" s="22"/>
      <c r="C922" s="22"/>
      <c r="D922" s="23"/>
      <c r="G922" s="24"/>
      <c r="H922" s="24"/>
      <c r="I922" s="24"/>
      <c r="J922" s="24"/>
      <c r="K922" s="24"/>
      <c r="M922" s="24"/>
      <c r="W922" s="24"/>
    </row>
    <row r="923" spans="1:23" ht="12.75" x14ac:dyDescent="0.2">
      <c r="A923" s="21"/>
      <c r="B923" s="22"/>
      <c r="C923" s="22"/>
      <c r="D923" s="23"/>
      <c r="G923" s="24"/>
      <c r="H923" s="24"/>
      <c r="I923" s="24"/>
      <c r="J923" s="24"/>
      <c r="K923" s="24"/>
      <c r="M923" s="24"/>
      <c r="W923" s="24"/>
    </row>
    <row r="924" spans="1:23" ht="12.75" x14ac:dyDescent="0.2">
      <c r="A924" s="21"/>
      <c r="B924" s="22"/>
      <c r="C924" s="22"/>
      <c r="D924" s="23"/>
      <c r="G924" s="24"/>
      <c r="H924" s="24"/>
      <c r="I924" s="24"/>
      <c r="J924" s="24"/>
      <c r="K924" s="24"/>
      <c r="M924" s="24"/>
      <c r="W924" s="24"/>
    </row>
    <row r="925" spans="1:23" ht="12.75" x14ac:dyDescent="0.2">
      <c r="A925" s="21"/>
      <c r="B925" s="22"/>
      <c r="C925" s="22"/>
      <c r="D925" s="23"/>
      <c r="G925" s="24"/>
      <c r="H925" s="24"/>
      <c r="I925" s="24"/>
      <c r="J925" s="24"/>
      <c r="K925" s="24"/>
      <c r="M925" s="24"/>
      <c r="W925" s="24"/>
    </row>
    <row r="926" spans="1:23" ht="12.75" x14ac:dyDescent="0.2">
      <c r="A926" s="21"/>
      <c r="B926" s="22"/>
      <c r="C926" s="22"/>
      <c r="D926" s="23"/>
      <c r="G926" s="24"/>
      <c r="H926" s="24"/>
      <c r="I926" s="24"/>
      <c r="J926" s="24"/>
      <c r="K926" s="24"/>
      <c r="M926" s="24"/>
      <c r="W926" s="24"/>
    </row>
    <row r="927" spans="1:23" ht="12.75" x14ac:dyDescent="0.2">
      <c r="A927" s="21"/>
      <c r="B927" s="22"/>
      <c r="C927" s="22"/>
      <c r="D927" s="23"/>
      <c r="G927" s="24"/>
      <c r="H927" s="24"/>
      <c r="I927" s="24"/>
      <c r="J927" s="24"/>
      <c r="K927" s="24"/>
      <c r="M927" s="24"/>
      <c r="W927" s="24"/>
    </row>
    <row r="928" spans="1:23" ht="12.75" x14ac:dyDescent="0.2">
      <c r="A928" s="21"/>
      <c r="B928" s="22"/>
      <c r="C928" s="22"/>
      <c r="D928" s="23"/>
      <c r="G928" s="24"/>
      <c r="H928" s="24"/>
      <c r="I928" s="24"/>
      <c r="J928" s="24"/>
      <c r="K928" s="24"/>
      <c r="M928" s="24"/>
      <c r="W928" s="24"/>
    </row>
    <row r="929" spans="1:23" ht="12.75" x14ac:dyDescent="0.2">
      <c r="A929" s="21"/>
      <c r="B929" s="22"/>
      <c r="C929" s="22"/>
      <c r="D929" s="23"/>
      <c r="G929" s="24"/>
      <c r="H929" s="24"/>
      <c r="I929" s="24"/>
      <c r="J929" s="24"/>
      <c r="K929" s="24"/>
      <c r="M929" s="24"/>
      <c r="W929" s="24"/>
    </row>
    <row r="930" spans="1:23" ht="12.75" x14ac:dyDescent="0.2">
      <c r="A930" s="21"/>
      <c r="B930" s="22"/>
      <c r="C930" s="22"/>
      <c r="D930" s="23"/>
      <c r="G930" s="24"/>
      <c r="H930" s="24"/>
      <c r="I930" s="24"/>
      <c r="J930" s="24"/>
      <c r="K930" s="24"/>
      <c r="M930" s="24"/>
      <c r="W930" s="24"/>
    </row>
    <row r="931" spans="1:23" ht="12.75" x14ac:dyDescent="0.2">
      <c r="A931" s="21"/>
      <c r="B931" s="22"/>
      <c r="C931" s="22"/>
      <c r="D931" s="23"/>
      <c r="G931" s="24"/>
      <c r="H931" s="24"/>
      <c r="I931" s="24"/>
      <c r="J931" s="24"/>
      <c r="K931" s="24"/>
      <c r="M931" s="24"/>
      <c r="W931" s="24"/>
    </row>
    <row r="932" spans="1:23" ht="12.75" x14ac:dyDescent="0.2">
      <c r="A932" s="21"/>
      <c r="B932" s="22"/>
      <c r="C932" s="22"/>
      <c r="D932" s="23"/>
      <c r="G932" s="24"/>
      <c r="H932" s="24"/>
      <c r="I932" s="24"/>
      <c r="J932" s="24"/>
      <c r="K932" s="24"/>
      <c r="M932" s="24"/>
      <c r="W932" s="24"/>
    </row>
    <row r="933" spans="1:23" ht="12.75" x14ac:dyDescent="0.2">
      <c r="A933" s="21"/>
      <c r="B933" s="22"/>
      <c r="C933" s="22"/>
      <c r="D933" s="23"/>
      <c r="G933" s="24"/>
      <c r="H933" s="24"/>
      <c r="I933" s="24"/>
      <c r="J933" s="24"/>
      <c r="K933" s="24"/>
      <c r="M933" s="24"/>
      <c r="W933" s="24"/>
    </row>
    <row r="934" spans="1:23" ht="12.75" x14ac:dyDescent="0.2">
      <c r="A934" s="21"/>
      <c r="B934" s="22"/>
      <c r="C934" s="22"/>
      <c r="D934" s="23"/>
      <c r="G934" s="24"/>
      <c r="H934" s="24"/>
      <c r="I934" s="24"/>
      <c r="J934" s="24"/>
      <c r="K934" s="24"/>
      <c r="M934" s="24"/>
      <c r="W934" s="24"/>
    </row>
    <row r="935" spans="1:23" ht="12.75" x14ac:dyDescent="0.2">
      <c r="A935" s="21"/>
      <c r="B935" s="22"/>
      <c r="C935" s="22"/>
      <c r="D935" s="23"/>
      <c r="G935" s="24"/>
      <c r="H935" s="24"/>
      <c r="I935" s="24"/>
      <c r="J935" s="24"/>
      <c r="K935" s="24"/>
      <c r="M935" s="24"/>
      <c r="W935" s="24"/>
    </row>
    <row r="936" spans="1:23" ht="12.75" x14ac:dyDescent="0.2">
      <c r="A936" s="21"/>
      <c r="B936" s="22"/>
      <c r="C936" s="22"/>
      <c r="D936" s="23"/>
      <c r="G936" s="24"/>
      <c r="H936" s="24"/>
      <c r="I936" s="24"/>
      <c r="J936" s="24"/>
      <c r="K936" s="24"/>
      <c r="M936" s="24"/>
      <c r="W936" s="24"/>
    </row>
    <row r="937" spans="1:23" ht="12.75" x14ac:dyDescent="0.2">
      <c r="A937" s="21"/>
      <c r="B937" s="22"/>
      <c r="C937" s="22"/>
      <c r="D937" s="23"/>
      <c r="G937" s="24"/>
      <c r="H937" s="24"/>
      <c r="I937" s="24"/>
      <c r="J937" s="24"/>
      <c r="K937" s="24"/>
      <c r="M937" s="24"/>
      <c r="W937" s="24"/>
    </row>
    <row r="938" spans="1:23" ht="12.75" x14ac:dyDescent="0.2">
      <c r="A938" s="21"/>
      <c r="B938" s="22"/>
      <c r="C938" s="22"/>
      <c r="D938" s="23"/>
      <c r="G938" s="24"/>
      <c r="H938" s="24"/>
      <c r="I938" s="24"/>
      <c r="J938" s="24"/>
      <c r="K938" s="24"/>
      <c r="M938" s="24"/>
      <c r="W938" s="24"/>
    </row>
    <row r="939" spans="1:23" ht="12.75" x14ac:dyDescent="0.2">
      <c r="A939" s="21"/>
      <c r="B939" s="22"/>
      <c r="C939" s="22"/>
      <c r="D939" s="23"/>
      <c r="G939" s="24"/>
      <c r="H939" s="24"/>
      <c r="I939" s="24"/>
      <c r="J939" s="24"/>
      <c r="K939" s="24"/>
      <c r="M939" s="24"/>
      <c r="W939" s="24"/>
    </row>
    <row r="940" spans="1:23" ht="12.75" x14ac:dyDescent="0.2">
      <c r="A940" s="21"/>
      <c r="B940" s="22"/>
      <c r="C940" s="22"/>
      <c r="D940" s="23"/>
      <c r="G940" s="24"/>
      <c r="H940" s="24"/>
      <c r="I940" s="24"/>
      <c r="J940" s="24"/>
      <c r="K940" s="24"/>
      <c r="M940" s="24"/>
      <c r="W940" s="24"/>
    </row>
    <row r="941" spans="1:23" ht="12.75" x14ac:dyDescent="0.2">
      <c r="A941" s="21"/>
      <c r="B941" s="22"/>
      <c r="C941" s="22"/>
      <c r="D941" s="23"/>
      <c r="G941" s="24"/>
      <c r="H941" s="24"/>
      <c r="I941" s="24"/>
      <c r="J941" s="24"/>
      <c r="K941" s="24"/>
      <c r="M941" s="24"/>
      <c r="W941" s="24"/>
    </row>
    <row r="942" spans="1:23" ht="12.75" x14ac:dyDescent="0.2">
      <c r="A942" s="21"/>
      <c r="B942" s="22"/>
      <c r="C942" s="22"/>
      <c r="D942" s="23"/>
      <c r="G942" s="24"/>
      <c r="H942" s="24"/>
      <c r="I942" s="24"/>
      <c r="J942" s="24"/>
      <c r="K942" s="24"/>
      <c r="M942" s="24"/>
      <c r="W942" s="24"/>
    </row>
    <row r="943" spans="1:23" ht="12.75" x14ac:dyDescent="0.2">
      <c r="A943" s="21"/>
      <c r="B943" s="22"/>
      <c r="C943" s="22"/>
      <c r="D943" s="23"/>
      <c r="G943" s="24"/>
      <c r="H943" s="24"/>
      <c r="I943" s="24"/>
      <c r="J943" s="24"/>
      <c r="K943" s="24"/>
      <c r="M943" s="24"/>
      <c r="W943" s="24"/>
    </row>
    <row r="944" spans="1:23" ht="12.75" x14ac:dyDescent="0.2">
      <c r="A944" s="21"/>
      <c r="B944" s="22"/>
      <c r="C944" s="22"/>
      <c r="D944" s="23"/>
      <c r="G944" s="24"/>
      <c r="H944" s="24"/>
      <c r="I944" s="24"/>
      <c r="J944" s="24"/>
      <c r="K944" s="24"/>
      <c r="M944" s="24"/>
      <c r="W944" s="24"/>
    </row>
    <row r="945" spans="1:23" ht="12.75" x14ac:dyDescent="0.2">
      <c r="A945" s="21"/>
      <c r="B945" s="22"/>
      <c r="C945" s="22"/>
      <c r="D945" s="23"/>
      <c r="G945" s="24"/>
      <c r="H945" s="24"/>
      <c r="I945" s="24"/>
      <c r="J945" s="24"/>
      <c r="K945" s="24"/>
      <c r="M945" s="24"/>
      <c r="W945" s="24"/>
    </row>
    <row r="946" spans="1:23" ht="12.75" x14ac:dyDescent="0.2">
      <c r="A946" s="21"/>
      <c r="B946" s="22"/>
      <c r="C946" s="22"/>
      <c r="D946" s="23"/>
      <c r="G946" s="24"/>
      <c r="H946" s="24"/>
      <c r="I946" s="24"/>
      <c r="J946" s="24"/>
      <c r="K946" s="24"/>
      <c r="M946" s="24"/>
      <c r="W946" s="24"/>
    </row>
    <row r="947" spans="1:23" ht="12.75" x14ac:dyDescent="0.2">
      <c r="A947" s="21"/>
      <c r="B947" s="22"/>
      <c r="C947" s="22"/>
      <c r="D947" s="23"/>
      <c r="G947" s="24"/>
      <c r="H947" s="24"/>
      <c r="I947" s="24"/>
      <c r="J947" s="24"/>
      <c r="K947" s="24"/>
      <c r="M947" s="24"/>
      <c r="W947" s="24"/>
    </row>
    <row r="948" spans="1:23" ht="12.75" x14ac:dyDescent="0.2">
      <c r="A948" s="21"/>
      <c r="B948" s="22"/>
      <c r="C948" s="22"/>
      <c r="D948" s="23"/>
      <c r="G948" s="24"/>
      <c r="H948" s="24"/>
      <c r="I948" s="24"/>
      <c r="J948" s="24"/>
      <c r="K948" s="24"/>
      <c r="M948" s="24"/>
      <c r="W948" s="24"/>
    </row>
    <row r="949" spans="1:23" ht="12.75" x14ac:dyDescent="0.2">
      <c r="A949" s="21"/>
      <c r="B949" s="22"/>
      <c r="C949" s="22"/>
      <c r="D949" s="23"/>
      <c r="G949" s="24"/>
      <c r="H949" s="24"/>
      <c r="I949" s="24"/>
      <c r="J949" s="24"/>
      <c r="K949" s="24"/>
      <c r="M949" s="24"/>
      <c r="W949" s="24"/>
    </row>
    <row r="950" spans="1:23" ht="12.75" x14ac:dyDescent="0.2">
      <c r="A950" s="21"/>
      <c r="B950" s="22"/>
      <c r="C950" s="22"/>
      <c r="D950" s="23"/>
      <c r="G950" s="24"/>
      <c r="H950" s="24"/>
      <c r="I950" s="24"/>
      <c r="J950" s="24"/>
      <c r="K950" s="24"/>
      <c r="M950" s="24"/>
      <c r="W950" s="24"/>
    </row>
    <row r="951" spans="1:23" ht="12.75" x14ac:dyDescent="0.2">
      <c r="A951" s="21"/>
      <c r="B951" s="22"/>
      <c r="C951" s="22"/>
      <c r="D951" s="23"/>
      <c r="G951" s="24"/>
      <c r="H951" s="24"/>
      <c r="I951" s="24"/>
      <c r="J951" s="24"/>
      <c r="K951" s="24"/>
      <c r="M951" s="24"/>
      <c r="W951" s="24"/>
    </row>
    <row r="952" spans="1:23" ht="12.75" x14ac:dyDescent="0.2">
      <c r="A952" s="21"/>
      <c r="B952" s="22"/>
      <c r="C952" s="22"/>
      <c r="D952" s="23"/>
      <c r="G952" s="24"/>
      <c r="H952" s="24"/>
      <c r="I952" s="24"/>
      <c r="J952" s="24"/>
      <c r="K952" s="24"/>
      <c r="M952" s="24"/>
      <c r="W952" s="24"/>
    </row>
    <row r="953" spans="1:23" ht="12.75" x14ac:dyDescent="0.2">
      <c r="A953" s="21"/>
      <c r="B953" s="22"/>
      <c r="C953" s="22"/>
      <c r="D953" s="23"/>
      <c r="G953" s="24"/>
      <c r="H953" s="24"/>
      <c r="I953" s="24"/>
      <c r="J953" s="24"/>
      <c r="K953" s="24"/>
      <c r="M953" s="24"/>
      <c r="W953" s="24"/>
    </row>
    <row r="954" spans="1:23" ht="12.75" x14ac:dyDescent="0.2">
      <c r="A954" s="21"/>
      <c r="B954" s="22"/>
      <c r="C954" s="22"/>
      <c r="D954" s="23"/>
      <c r="G954" s="24"/>
      <c r="H954" s="24"/>
      <c r="I954" s="24"/>
      <c r="J954" s="24"/>
      <c r="K954" s="24"/>
      <c r="M954" s="24"/>
      <c r="W954" s="24"/>
    </row>
    <row r="955" spans="1:23" ht="12.75" x14ac:dyDescent="0.2">
      <c r="A955" s="21"/>
      <c r="B955" s="22"/>
      <c r="C955" s="22"/>
      <c r="D955" s="23"/>
      <c r="G955" s="24"/>
      <c r="H955" s="24"/>
      <c r="I955" s="24"/>
      <c r="J955" s="24"/>
      <c r="K955" s="24"/>
      <c r="M955" s="24"/>
      <c r="W955" s="24"/>
    </row>
    <row r="956" spans="1:23" ht="12.75" x14ac:dyDescent="0.2">
      <c r="A956" s="21"/>
      <c r="B956" s="22"/>
      <c r="C956" s="22"/>
      <c r="D956" s="23"/>
      <c r="G956" s="24"/>
      <c r="H956" s="24"/>
      <c r="I956" s="24"/>
      <c r="J956" s="24"/>
      <c r="K956" s="24"/>
      <c r="M956" s="24"/>
      <c r="W956" s="24"/>
    </row>
    <row r="957" spans="1:23" ht="12.75" x14ac:dyDescent="0.2">
      <c r="A957" s="21"/>
      <c r="B957" s="22"/>
      <c r="C957" s="22"/>
      <c r="D957" s="23"/>
      <c r="G957" s="24"/>
      <c r="H957" s="24"/>
      <c r="I957" s="24"/>
      <c r="J957" s="24"/>
      <c r="K957" s="24"/>
      <c r="M957" s="24"/>
      <c r="W957" s="24"/>
    </row>
    <row r="958" spans="1:23" ht="12.75" x14ac:dyDescent="0.2">
      <c r="A958" s="21"/>
      <c r="B958" s="22"/>
      <c r="C958" s="22"/>
      <c r="D958" s="23"/>
      <c r="G958" s="24"/>
      <c r="H958" s="24"/>
      <c r="I958" s="24"/>
      <c r="J958" s="24"/>
      <c r="K958" s="24"/>
      <c r="M958" s="24"/>
      <c r="W958" s="24"/>
    </row>
    <row r="959" spans="1:23" ht="12.75" x14ac:dyDescent="0.2">
      <c r="A959" s="21"/>
      <c r="B959" s="22"/>
      <c r="C959" s="22"/>
      <c r="D959" s="23"/>
      <c r="G959" s="24"/>
      <c r="H959" s="24"/>
      <c r="I959" s="24"/>
      <c r="J959" s="24"/>
      <c r="K959" s="24"/>
      <c r="M959" s="24"/>
      <c r="W959" s="24"/>
    </row>
    <row r="960" spans="1:23" ht="12.75" x14ac:dyDescent="0.2">
      <c r="A960" s="21"/>
      <c r="B960" s="22"/>
      <c r="C960" s="22"/>
      <c r="D960" s="23"/>
      <c r="G960" s="24"/>
      <c r="H960" s="24"/>
      <c r="I960" s="24"/>
      <c r="J960" s="24"/>
      <c r="K960" s="24"/>
      <c r="M960" s="24"/>
      <c r="W960" s="24"/>
    </row>
    <row r="961" spans="1:23" ht="12.75" x14ac:dyDescent="0.2">
      <c r="A961" s="21"/>
      <c r="B961" s="22"/>
      <c r="C961" s="22"/>
      <c r="D961" s="23"/>
      <c r="G961" s="24"/>
      <c r="H961" s="24"/>
      <c r="I961" s="24"/>
      <c r="J961" s="24"/>
      <c r="K961" s="24"/>
      <c r="M961" s="24"/>
      <c r="W961" s="24"/>
    </row>
    <row r="962" spans="1:23" ht="12.75" x14ac:dyDescent="0.2">
      <c r="A962" s="21"/>
      <c r="B962" s="22"/>
      <c r="C962" s="22"/>
      <c r="D962" s="23"/>
      <c r="G962" s="24"/>
      <c r="H962" s="24"/>
      <c r="I962" s="24"/>
      <c r="J962" s="24"/>
      <c r="K962" s="24"/>
      <c r="M962" s="24"/>
      <c r="W962" s="24"/>
    </row>
    <row r="963" spans="1:23" ht="12.75" x14ac:dyDescent="0.2">
      <c r="A963" s="21"/>
      <c r="B963" s="22"/>
      <c r="C963" s="22"/>
      <c r="D963" s="23"/>
      <c r="G963" s="24"/>
      <c r="H963" s="24"/>
      <c r="I963" s="24"/>
      <c r="J963" s="24"/>
      <c r="K963" s="24"/>
      <c r="M963" s="24"/>
      <c r="W963" s="24"/>
    </row>
    <row r="964" spans="1:23" ht="12.75" x14ac:dyDescent="0.2">
      <c r="A964" s="21"/>
      <c r="B964" s="22"/>
      <c r="C964" s="22"/>
      <c r="D964" s="23"/>
      <c r="G964" s="24"/>
      <c r="H964" s="24"/>
      <c r="I964" s="24"/>
      <c r="J964" s="24"/>
      <c r="K964" s="24"/>
      <c r="M964" s="24"/>
      <c r="W964" s="24"/>
    </row>
    <row r="965" spans="1:23" ht="12.75" x14ac:dyDescent="0.2">
      <c r="A965" s="21"/>
      <c r="B965" s="22"/>
      <c r="C965" s="22"/>
      <c r="D965" s="23"/>
      <c r="G965" s="24"/>
      <c r="H965" s="24"/>
      <c r="I965" s="24"/>
      <c r="J965" s="24"/>
      <c r="K965" s="24"/>
      <c r="M965" s="24"/>
      <c r="W965" s="24"/>
    </row>
    <row r="966" spans="1:23" ht="12.75" x14ac:dyDescent="0.2">
      <c r="A966" s="21"/>
      <c r="B966" s="22"/>
      <c r="C966" s="22"/>
      <c r="D966" s="23"/>
      <c r="G966" s="24"/>
      <c r="H966" s="24"/>
      <c r="I966" s="24"/>
      <c r="J966" s="24"/>
      <c r="K966" s="24"/>
      <c r="M966" s="24"/>
      <c r="W966" s="24"/>
    </row>
    <row r="967" spans="1:23" ht="12.75" x14ac:dyDescent="0.2">
      <c r="A967" s="21"/>
      <c r="B967" s="22"/>
      <c r="C967" s="22"/>
      <c r="D967" s="23"/>
      <c r="G967" s="24"/>
      <c r="H967" s="24"/>
      <c r="I967" s="24"/>
      <c r="J967" s="24"/>
      <c r="K967" s="24"/>
      <c r="M967" s="24"/>
      <c r="W967" s="24"/>
    </row>
    <row r="968" spans="1:23" ht="12.75" x14ac:dyDescent="0.2">
      <c r="A968" s="21"/>
      <c r="B968" s="22"/>
      <c r="C968" s="22"/>
      <c r="D968" s="23"/>
      <c r="G968" s="24"/>
      <c r="H968" s="24"/>
      <c r="I968" s="24"/>
      <c r="J968" s="24"/>
      <c r="K968" s="24"/>
      <c r="M968" s="24"/>
      <c r="W968" s="24"/>
    </row>
    <row r="969" spans="1:23" ht="12.75" x14ac:dyDescent="0.2">
      <c r="A969" s="21"/>
      <c r="B969" s="22"/>
      <c r="C969" s="22"/>
      <c r="D969" s="23"/>
      <c r="G969" s="24"/>
      <c r="H969" s="24"/>
      <c r="I969" s="24"/>
      <c r="J969" s="24"/>
      <c r="K969" s="24"/>
      <c r="M969" s="24"/>
      <c r="W969" s="24"/>
    </row>
    <row r="970" spans="1:23" ht="12.75" x14ac:dyDescent="0.2">
      <c r="A970" s="21"/>
      <c r="B970" s="22"/>
      <c r="C970" s="22"/>
      <c r="D970" s="23"/>
      <c r="G970" s="24"/>
      <c r="H970" s="24"/>
      <c r="I970" s="24"/>
      <c r="J970" s="24"/>
      <c r="K970" s="24"/>
      <c r="M970" s="24"/>
      <c r="W970" s="24"/>
    </row>
    <row r="971" spans="1:23" ht="12.75" x14ac:dyDescent="0.2">
      <c r="A971" s="21"/>
      <c r="B971" s="22"/>
      <c r="C971" s="22"/>
      <c r="D971" s="23"/>
      <c r="G971" s="24"/>
      <c r="H971" s="24"/>
      <c r="I971" s="24"/>
      <c r="J971" s="24"/>
      <c r="K971" s="24"/>
      <c r="M971" s="24"/>
      <c r="W971" s="24"/>
    </row>
    <row r="972" spans="1:23" ht="12.75" x14ac:dyDescent="0.2">
      <c r="A972" s="21"/>
      <c r="B972" s="22"/>
      <c r="C972" s="22"/>
      <c r="D972" s="23"/>
      <c r="G972" s="24"/>
      <c r="H972" s="24"/>
      <c r="I972" s="24"/>
      <c r="J972" s="24"/>
      <c r="K972" s="24"/>
      <c r="M972" s="24"/>
      <c r="W972" s="24"/>
    </row>
    <row r="973" spans="1:23" ht="12.75" x14ac:dyDescent="0.2">
      <c r="A973" s="21"/>
      <c r="B973" s="22"/>
      <c r="C973" s="22"/>
      <c r="D973" s="23"/>
      <c r="G973" s="24"/>
      <c r="H973" s="24"/>
      <c r="I973" s="24"/>
      <c r="J973" s="24"/>
      <c r="K973" s="24"/>
      <c r="M973" s="24"/>
      <c r="W973" s="24"/>
    </row>
    <row r="974" spans="1:23" ht="12.75" x14ac:dyDescent="0.2">
      <c r="A974" s="21"/>
      <c r="B974" s="22"/>
      <c r="C974" s="22"/>
      <c r="D974" s="23"/>
      <c r="G974" s="24"/>
      <c r="H974" s="24"/>
      <c r="I974" s="24"/>
      <c r="J974" s="24"/>
      <c r="K974" s="24"/>
      <c r="M974" s="24"/>
      <c r="W974" s="24"/>
    </row>
    <row r="975" spans="1:23" ht="12.75" x14ac:dyDescent="0.2">
      <c r="A975" s="21"/>
      <c r="B975" s="22"/>
      <c r="C975" s="22"/>
      <c r="D975" s="23"/>
      <c r="G975" s="24"/>
      <c r="H975" s="24"/>
      <c r="I975" s="24"/>
      <c r="J975" s="24"/>
      <c r="K975" s="24"/>
      <c r="M975" s="24"/>
      <c r="W975" s="24"/>
    </row>
    <row r="976" spans="1:23" ht="12.75" x14ac:dyDescent="0.2">
      <c r="A976" s="21"/>
      <c r="B976" s="22"/>
      <c r="C976" s="22"/>
      <c r="D976" s="23"/>
      <c r="G976" s="24"/>
      <c r="H976" s="24"/>
      <c r="I976" s="24"/>
      <c r="J976" s="24"/>
      <c r="K976" s="24"/>
      <c r="M976" s="24"/>
      <c r="W976" s="24"/>
    </row>
    <row r="977" spans="1:23" ht="12.75" x14ac:dyDescent="0.2">
      <c r="A977" s="21"/>
      <c r="B977" s="22"/>
      <c r="C977" s="22"/>
      <c r="D977" s="23"/>
      <c r="G977" s="24"/>
      <c r="H977" s="24"/>
      <c r="I977" s="24"/>
      <c r="J977" s="24"/>
      <c r="K977" s="24"/>
      <c r="M977" s="24"/>
      <c r="W977" s="24"/>
    </row>
    <row r="978" spans="1:23" ht="12.75" x14ac:dyDescent="0.2">
      <c r="A978" s="21"/>
      <c r="B978" s="22"/>
      <c r="C978" s="22"/>
      <c r="D978" s="23"/>
      <c r="G978" s="24"/>
      <c r="H978" s="24"/>
      <c r="I978" s="24"/>
      <c r="J978" s="24"/>
      <c r="K978" s="24"/>
      <c r="M978" s="24"/>
      <c r="W978" s="24"/>
    </row>
    <row r="979" spans="1:23" ht="12.75" x14ac:dyDescent="0.2">
      <c r="A979" s="21"/>
      <c r="B979" s="22"/>
      <c r="C979" s="22"/>
      <c r="D979" s="23"/>
      <c r="G979" s="24"/>
      <c r="H979" s="24"/>
      <c r="I979" s="24"/>
      <c r="J979" s="24"/>
      <c r="K979" s="24"/>
      <c r="M979" s="24"/>
      <c r="W979" s="24"/>
    </row>
    <row r="980" spans="1:23" ht="12.75" x14ac:dyDescent="0.2">
      <c r="A980" s="21"/>
      <c r="B980" s="22"/>
      <c r="C980" s="22"/>
      <c r="D980" s="23"/>
      <c r="G980" s="24"/>
      <c r="H980" s="24"/>
      <c r="I980" s="24"/>
      <c r="J980" s="24"/>
      <c r="K980" s="24"/>
      <c r="M980" s="24"/>
      <c r="W980" s="24"/>
    </row>
    <row r="981" spans="1:23" ht="12.75" x14ac:dyDescent="0.2">
      <c r="A981" s="21"/>
      <c r="B981" s="22"/>
      <c r="C981" s="22"/>
      <c r="D981" s="23"/>
      <c r="G981" s="24"/>
      <c r="H981" s="24"/>
      <c r="I981" s="24"/>
      <c r="J981" s="24"/>
      <c r="K981" s="24"/>
      <c r="M981" s="24"/>
      <c r="W981" s="24"/>
    </row>
    <row r="982" spans="1:23" ht="12.75" x14ac:dyDescent="0.2">
      <c r="A982" s="21"/>
      <c r="B982" s="22"/>
      <c r="C982" s="22"/>
      <c r="D982" s="23"/>
      <c r="G982" s="24"/>
      <c r="H982" s="24"/>
      <c r="I982" s="24"/>
      <c r="J982" s="24"/>
      <c r="K982" s="24"/>
      <c r="M982" s="24"/>
      <c r="W982" s="24"/>
    </row>
    <row r="983" spans="1:23" ht="12.75" x14ac:dyDescent="0.2">
      <c r="A983" s="21"/>
      <c r="B983" s="22"/>
      <c r="C983" s="22"/>
      <c r="D983" s="23"/>
      <c r="G983" s="24"/>
      <c r="H983" s="24"/>
      <c r="I983" s="24"/>
      <c r="J983" s="24"/>
      <c r="K983" s="24"/>
      <c r="M983" s="24"/>
      <c r="W983" s="24"/>
    </row>
    <row r="984" spans="1:23" ht="12.75" x14ac:dyDescent="0.2">
      <c r="A984" s="21"/>
      <c r="B984" s="22"/>
      <c r="C984" s="22"/>
      <c r="D984" s="23"/>
      <c r="G984" s="24"/>
      <c r="H984" s="24"/>
      <c r="I984" s="24"/>
      <c r="J984" s="24"/>
      <c r="K984" s="24"/>
      <c r="M984" s="24"/>
      <c r="W984" s="24"/>
    </row>
    <row r="985" spans="1:23" ht="12.75" x14ac:dyDescent="0.2">
      <c r="A985" s="21"/>
      <c r="B985" s="22"/>
      <c r="C985" s="22"/>
      <c r="D985" s="23"/>
      <c r="G985" s="24"/>
      <c r="H985" s="24"/>
      <c r="I985" s="24"/>
      <c r="J985" s="24"/>
      <c r="K985" s="24"/>
      <c r="M985" s="24"/>
      <c r="W985" s="24"/>
    </row>
    <row r="986" spans="1:23" ht="12.75" x14ac:dyDescent="0.2">
      <c r="A986" s="21"/>
      <c r="B986" s="22"/>
      <c r="C986" s="22"/>
      <c r="D986" s="23"/>
      <c r="G986" s="24"/>
      <c r="H986" s="24"/>
      <c r="I986" s="24"/>
      <c r="J986" s="24"/>
      <c r="K986" s="24"/>
      <c r="M986" s="24"/>
      <c r="W986" s="24"/>
    </row>
    <row r="987" spans="1:23" ht="12.75" x14ac:dyDescent="0.2">
      <c r="A987" s="21"/>
      <c r="B987" s="22"/>
      <c r="C987" s="22"/>
      <c r="D987" s="23"/>
      <c r="G987" s="24"/>
      <c r="H987" s="24"/>
      <c r="I987" s="24"/>
      <c r="J987" s="24"/>
      <c r="K987" s="24"/>
      <c r="M987" s="24"/>
      <c r="W987" s="24"/>
    </row>
    <row r="988" spans="1:23" ht="12.75" x14ac:dyDescent="0.2">
      <c r="A988" s="21"/>
      <c r="B988" s="22"/>
      <c r="C988" s="22"/>
      <c r="D988" s="23"/>
      <c r="G988" s="24"/>
      <c r="H988" s="24"/>
      <c r="I988" s="24"/>
      <c r="J988" s="24"/>
      <c r="K988" s="24"/>
      <c r="M988" s="24"/>
      <c r="W988" s="24"/>
    </row>
    <row r="989" spans="1:23" ht="12.75" x14ac:dyDescent="0.2">
      <c r="A989" s="21"/>
      <c r="B989" s="22"/>
      <c r="C989" s="22"/>
      <c r="D989" s="23"/>
      <c r="G989" s="24"/>
      <c r="H989" s="24"/>
      <c r="I989" s="24"/>
      <c r="J989" s="24"/>
      <c r="K989" s="24"/>
      <c r="M989" s="24"/>
      <c r="W989" s="24"/>
    </row>
    <row r="990" spans="1:23" ht="12.75" x14ac:dyDescent="0.2">
      <c r="A990" s="21"/>
      <c r="B990" s="22"/>
      <c r="C990" s="22"/>
      <c r="D990" s="23"/>
      <c r="G990" s="24"/>
      <c r="H990" s="24"/>
      <c r="I990" s="24"/>
      <c r="J990" s="24"/>
      <c r="K990" s="24"/>
      <c r="M990" s="24"/>
      <c r="W990" s="24"/>
    </row>
    <row r="991" spans="1:23" ht="12.75" x14ac:dyDescent="0.2">
      <c r="A991" s="21"/>
      <c r="B991" s="22"/>
      <c r="C991" s="22"/>
      <c r="D991" s="23"/>
      <c r="G991" s="24"/>
      <c r="H991" s="24"/>
      <c r="I991" s="24"/>
      <c r="J991" s="24"/>
      <c r="K991" s="24"/>
      <c r="M991" s="24"/>
      <c r="W991" s="24"/>
    </row>
  </sheetData>
  <autoFilter ref="A4:BI587"/>
  <mergeCells count="1">
    <mergeCell ref="B1:C1"/>
  </mergeCells>
  <dataValidations count="1">
    <dataValidation type="list" allowBlank="1" showErrorMessage="1" sqref="B5:B587">
      <formula1>"Include,Exclude,Review"</formula1>
    </dataValidation>
  </dataValidations>
  <hyperlinks>
    <hyperlink ref="F568" r:id="rId1"/>
    <hyperlink ref="F569" r:id="rId2"/>
    <hyperlink ref="F570" r:id="rId3"/>
    <hyperlink ref="F571" r:id="rId4"/>
    <hyperlink ref="F572" r:id="rId5"/>
    <hyperlink ref="F573" r:id="rId6"/>
    <hyperlink ref="F574" r:id="rId7"/>
    <hyperlink ref="F575" r:id="rId8"/>
    <hyperlink ref="F576" r:id="rId9"/>
    <hyperlink ref="F577" r:id="rId10"/>
    <hyperlink ref="F578" r:id="rId11"/>
    <hyperlink ref="F579" r:id="rId12"/>
    <hyperlink ref="F580" r:id="rId13"/>
    <hyperlink ref="F581" r:id="rId14"/>
    <hyperlink ref="F582" r:id="rId15"/>
    <hyperlink ref="F583" r:id="rId16"/>
    <hyperlink ref="F584" r:id="rId17"/>
    <hyperlink ref="F585" r:id="rId18"/>
    <hyperlink ref="F586" r:id="rId19"/>
    <hyperlink ref="F587" r:id="rId20"/>
  </hyperlinks>
  <pageMargins left="0.7" right="0.7" top="0.75" bottom="0.75" header="0.3" footer="0.3"/>
  <pageSetup paperSize="9" orientation="portrait" r:id="rId21"/>
  <drawing r:id="rId2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889722EC5D41498A1EF478528EA86A" ma:contentTypeVersion="17" ma:contentTypeDescription="Create a new document." ma:contentTypeScope="" ma:versionID="f40a36653fc84d49b2ea6a91c7a47c5a">
  <xsd:schema xmlns:xsd="http://www.w3.org/2001/XMLSchema" xmlns:xs="http://www.w3.org/2001/XMLSchema" xmlns:p="http://schemas.microsoft.com/office/2006/metadata/properties" xmlns:ns2="3f7b5553-96e7-4109-9e38-72b4dee46f41" xmlns:ns3="43ac0ead-a1be-48e3-a88d-d622005ec65b" targetNamespace="http://schemas.microsoft.com/office/2006/metadata/properties" ma:root="true" ma:fieldsID="edd60d072275dd39117ea5eef66917bd" ns2:_="" ns3:_="">
    <xsd:import namespace="3f7b5553-96e7-4109-9e38-72b4dee46f41"/>
    <xsd:import namespace="43ac0ead-a1be-48e3-a88d-d622005ec6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7b5553-96e7-4109-9e38-72b4dee46f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bfd73ac-60ab-4c4c-94f0-f62535b8764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ac0ead-a1be-48e3-a88d-d622005ec65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da6d893-482d-46bf-8d7a-8696ca756e1a}" ma:internalName="TaxCatchAll" ma:showField="CatchAllData" ma:web="43ac0ead-a1be-48e3-a88d-d622005ec6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3ac0ead-a1be-48e3-a88d-d622005ec65b" xsi:nil="true"/>
    <lcf76f155ced4ddcb4097134ff3c332f xmlns="3f7b5553-96e7-4109-9e38-72b4dee46f4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85FA686-35DC-4AB4-991B-1CCF7FB210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7b5553-96e7-4109-9e38-72b4dee46f41"/>
    <ds:schemaRef ds:uri="43ac0ead-a1be-48e3-a88d-d622005ec6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CA5428-2863-463F-A4B7-EB69F77C56DA}">
  <ds:schemaRefs>
    <ds:schemaRef ds:uri="http://schemas.microsoft.com/sharepoint/v3/contenttype/forms"/>
  </ds:schemaRefs>
</ds:datastoreItem>
</file>

<file path=customXml/itemProps3.xml><?xml version="1.0" encoding="utf-8"?>
<ds:datastoreItem xmlns:ds="http://schemas.openxmlformats.org/officeDocument/2006/customXml" ds:itemID="{BF97F2DA-D3EE-4947-BE72-86405009B369}">
  <ds:schemaRefs>
    <ds:schemaRef ds:uri="http://schemas.microsoft.com/office/2006/metadata/properties"/>
    <ds:schemaRef ds:uri="http://schemas.microsoft.com/office/infopath/2007/PartnerControls"/>
    <ds:schemaRef ds:uri="43ac0ead-a1be-48e3-a88d-d622005ec65b"/>
    <ds:schemaRef ds:uri="3f7b5553-96e7-4109-9e38-72b4dee46f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Bibliometric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SUMAE</cp:lastModifiedBy>
  <dcterms:created xsi:type="dcterms:W3CDTF">2023-09-21T09:02:40Z</dcterms:created>
  <dcterms:modified xsi:type="dcterms:W3CDTF">2023-11-01T06:43:03Z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0x0101005A889722EC5D41498A1EF478528EA86A</vt:lpwstr>
  </property>
</Properties>
</file>